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0520" windowHeight="9510" tabRatio="500"/>
  </bookViews>
  <sheets>
    <sheet name="cp_cmd" sheetId="1" r:id="rId1"/>
    <sheet name="cp_recap" sheetId="2" r:id="rId2"/>
    <sheet name="Recettes" sheetId="3" r:id="rId3"/>
  </sheets>
  <definedNames>
    <definedName name="_xlnm.Print_Area" localSheetId="0">cp_cmd!$E$2:$P$30</definedName>
    <definedName name="_xlnm.Print_Area" localSheetId="1">cp_recap!$A$1:$D$28</definedName>
  </definedNames>
  <calcPr calcId="152511"/>
</workbook>
</file>

<file path=xl/calcChain.xml><?xml version="1.0" encoding="utf-8"?>
<calcChain xmlns="http://schemas.openxmlformats.org/spreadsheetml/2006/main">
  <c r="P6" i="1" l="1"/>
  <c r="P7" i="1"/>
  <c r="O20" i="3"/>
  <c r="D16" i="2"/>
  <c r="D15" i="2"/>
  <c r="S62" i="3"/>
  <c r="S61" i="3"/>
  <c r="S58" i="3"/>
  <c r="S57" i="3"/>
  <c r="D57" i="3"/>
  <c r="D56" i="3"/>
  <c r="D55" i="3"/>
  <c r="D54" i="3"/>
  <c r="D53" i="3"/>
  <c r="D52" i="3"/>
  <c r="D51" i="3"/>
  <c r="D50" i="3"/>
  <c r="S49" i="3"/>
  <c r="D49" i="3"/>
  <c r="S48" i="3"/>
  <c r="D46" i="3"/>
  <c r="C46" i="3"/>
  <c r="D45" i="3"/>
  <c r="C45" i="3"/>
  <c r="C43" i="3"/>
  <c r="B43" i="3"/>
  <c r="S42" i="3"/>
  <c r="I42" i="3"/>
  <c r="S41" i="3"/>
  <c r="K41" i="3"/>
  <c r="J41" i="3"/>
  <c r="I41" i="3"/>
  <c r="H41" i="3"/>
  <c r="B41" i="3"/>
  <c r="S40" i="3"/>
  <c r="B40" i="3"/>
  <c r="S39" i="3"/>
  <c r="S38" i="3"/>
  <c r="I38" i="3"/>
  <c r="B37" i="3"/>
  <c r="L35" i="3"/>
  <c r="K35" i="3"/>
  <c r="J35" i="3"/>
  <c r="I35" i="3"/>
  <c r="H35" i="3"/>
  <c r="G35" i="3"/>
  <c r="E35" i="3"/>
  <c r="D35" i="3"/>
  <c r="C35" i="3"/>
  <c r="B35" i="3"/>
  <c r="L34" i="3"/>
  <c r="K34" i="3"/>
  <c r="J34" i="3"/>
  <c r="I34" i="3"/>
  <c r="H34" i="3"/>
  <c r="G34" i="3"/>
  <c r="E34" i="3"/>
  <c r="D34" i="3"/>
  <c r="C34" i="3"/>
  <c r="B34" i="3"/>
  <c r="L33" i="3"/>
  <c r="K33" i="3"/>
  <c r="J33" i="3"/>
  <c r="I33" i="3"/>
  <c r="H33" i="3"/>
  <c r="G33" i="3"/>
  <c r="E33" i="3"/>
  <c r="D33" i="3"/>
  <c r="C33" i="3"/>
  <c r="B33" i="3"/>
  <c r="M32" i="3"/>
  <c r="L32" i="3"/>
  <c r="K32" i="3"/>
  <c r="J32" i="3"/>
  <c r="I32" i="3"/>
  <c r="H32" i="3"/>
  <c r="G32" i="3"/>
  <c r="E32" i="3"/>
  <c r="D32" i="3"/>
  <c r="C32" i="3"/>
  <c r="B32" i="3"/>
  <c r="B27" i="3"/>
  <c r="K26" i="3"/>
  <c r="J26" i="3"/>
  <c r="I26" i="3"/>
  <c r="B26" i="3"/>
  <c r="B25" i="3"/>
  <c r="N24" i="3"/>
  <c r="K24" i="3"/>
  <c r="J24" i="3"/>
  <c r="I24" i="3"/>
  <c r="C24" i="3"/>
  <c r="B24" i="3"/>
  <c r="B23" i="3"/>
  <c r="B22" i="3"/>
  <c r="I20" i="3"/>
  <c r="H20" i="3"/>
  <c r="G20" i="3"/>
  <c r="E20" i="3"/>
  <c r="D20" i="3"/>
  <c r="B20" i="3"/>
  <c r="O19" i="3"/>
  <c r="N19" i="3"/>
  <c r="L19" i="3"/>
  <c r="H19" i="3"/>
  <c r="G19" i="3"/>
  <c r="E19" i="3"/>
  <c r="C19" i="3"/>
  <c r="F15" i="3"/>
  <c r="D15" i="3"/>
  <c r="F13" i="3"/>
  <c r="D10" i="3"/>
  <c r="F9" i="3"/>
  <c r="D9" i="3"/>
  <c r="F8" i="3"/>
  <c r="D8" i="3"/>
  <c r="F7" i="3"/>
  <c r="D7" i="3"/>
  <c r="F6" i="3"/>
  <c r="D6" i="3"/>
  <c r="D5" i="3"/>
  <c r="C5" i="3"/>
  <c r="F3" i="3"/>
  <c r="D3" i="3"/>
  <c r="D14" i="2"/>
  <c r="D13" i="2"/>
  <c r="D12" i="2"/>
  <c r="D11" i="2"/>
  <c r="D10" i="2"/>
  <c r="D9" i="2"/>
  <c r="G2" i="3" s="1"/>
  <c r="G5" i="3" s="1"/>
  <c r="D8" i="2"/>
  <c r="D7" i="2"/>
  <c r="D6" i="2"/>
  <c r="D5" i="2"/>
  <c r="D4" i="2"/>
  <c r="D3" i="2"/>
  <c r="L11" i="1"/>
  <c r="L10" i="1"/>
  <c r="L9" i="1"/>
  <c r="L8" i="1"/>
  <c r="L7" i="1"/>
  <c r="L5" i="1"/>
  <c r="L4" i="1"/>
  <c r="N3" i="1"/>
  <c r="M3" i="1"/>
  <c r="I2" i="3" l="1"/>
  <c r="I4" i="3" s="1"/>
  <c r="O6" i="1" s="1"/>
  <c r="K2" i="3"/>
  <c r="K9" i="3" s="1"/>
  <c r="P11" i="1" s="1"/>
  <c r="K7" i="3"/>
  <c r="P9" i="1" s="1"/>
  <c r="O4" i="1"/>
  <c r="C2" i="3"/>
  <c r="C6" i="3" s="1"/>
  <c r="K12" i="3"/>
  <c r="P14" i="1" s="1"/>
  <c r="K8" i="3"/>
  <c r="P10" i="1" s="1"/>
  <c r="G8" i="3"/>
  <c r="G10" i="3"/>
  <c r="G3" i="3"/>
  <c r="I5" i="3"/>
  <c r="O7" i="1" s="1"/>
  <c r="G6" i="3"/>
  <c r="G9" i="3"/>
  <c r="G7" i="3"/>
  <c r="I7" i="3"/>
  <c r="O9" i="1" s="1"/>
  <c r="E2" i="3"/>
  <c r="K10" i="3" l="1"/>
  <c r="P12" i="1" s="1"/>
  <c r="K11" i="3"/>
  <c r="P13" i="1" s="1"/>
  <c r="P4" i="1"/>
  <c r="C9" i="3"/>
  <c r="N11" i="1" s="1"/>
  <c r="C7" i="3"/>
  <c r="N9" i="1" s="1"/>
  <c r="K6" i="3"/>
  <c r="K15" i="3" s="1"/>
  <c r="P15" i="1" s="1"/>
  <c r="K3" i="3"/>
  <c r="P5" i="1" s="1"/>
  <c r="N4" i="1"/>
  <c r="C8" i="3"/>
  <c r="N10" i="1" s="1"/>
  <c r="C3" i="3"/>
  <c r="N5" i="1" s="1"/>
  <c r="O15" i="1"/>
  <c r="I15" i="3"/>
  <c r="B2" i="3"/>
  <c r="G15" i="3"/>
  <c r="C15" i="3"/>
  <c r="N15" i="1" s="1"/>
  <c r="N8" i="1"/>
  <c r="E14" i="3"/>
  <c r="E9" i="3"/>
  <c r="E3" i="3"/>
  <c r="E11" i="3"/>
  <c r="E13" i="3"/>
  <c r="E6" i="3"/>
  <c r="E8" i="3"/>
  <c r="E7" i="3"/>
  <c r="E12" i="3"/>
  <c r="P8" i="1" l="1"/>
  <c r="B7" i="3"/>
  <c r="M4" i="1"/>
  <c r="B5" i="3"/>
  <c r="H2" i="3"/>
  <c r="B9" i="3"/>
  <c r="B6" i="3"/>
  <c r="B3" i="3"/>
  <c r="M5" i="1" s="1"/>
  <c r="B8" i="3"/>
  <c r="E15" i="3"/>
  <c r="M8" i="1" l="1"/>
  <c r="B16" i="3"/>
  <c r="H6" i="3"/>
  <c r="H16" i="3" s="1"/>
  <c r="M10" i="1"/>
  <c r="H8" i="3"/>
  <c r="M7" i="1"/>
  <c r="H5" i="3"/>
  <c r="H3" i="3" s="1"/>
  <c r="M11" i="1"/>
  <c r="H9" i="3"/>
  <c r="H7" i="3"/>
  <c r="I11" i="3"/>
  <c r="M9" i="1"/>
  <c r="B11" i="3"/>
  <c r="B15" i="3" s="1"/>
  <c r="M15" i="1" s="1"/>
</calcChain>
</file>

<file path=xl/sharedStrings.xml><?xml version="1.0" encoding="utf-8"?>
<sst xmlns="http://schemas.openxmlformats.org/spreadsheetml/2006/main" count="243" uniqueCount="162">
  <si>
    <t>Production du 01/12/20</t>
  </si>
  <si>
    <t>cmd_id</t>
  </si>
  <si>
    <t>cmd_status</t>
  </si>
  <si>
    <t>cmd_date</t>
  </si>
  <si>
    <t>distri</t>
  </si>
  <si>
    <t>En cours</t>
  </si>
  <si>
    <t>2020-11-30 09:56:19</t>
  </si>
  <si>
    <t>Tournefeuille (à domicile)</t>
  </si>
  <si>
    <t>Batard Nature</t>
  </si>
  <si>
    <t>600g</t>
  </si>
  <si>
    <t>Tournesol</t>
  </si>
  <si>
    <t>2020-11-29 22:23:56</t>
  </si>
  <si>
    <t>Moulé Tournesol</t>
  </si>
  <si>
    <t>650g</t>
  </si>
  <si>
    <t>En attente</t>
  </si>
  <si>
    <t>2020-11-30 09:39:31</t>
  </si>
  <si>
    <t>Batard Tournesol</t>
  </si>
  <si>
    <t>Paton</t>
  </si>
  <si>
    <t>2020-11-30 18:25:04</t>
  </si>
  <si>
    <t>Moulé Petit Epeautre</t>
  </si>
  <si>
    <t>1kg</t>
  </si>
  <si>
    <t>Graine</t>
  </si>
  <si>
    <t>2020-11-30 17:51:27</t>
  </si>
  <si>
    <t>2020-11-29 21:09:32</t>
  </si>
  <si>
    <t>2020-11-30 12:51:42</t>
  </si>
  <si>
    <t>2020-11-30 18:43:38</t>
  </si>
  <si>
    <t>1kg-format-long</t>
  </si>
  <si>
    <t>2020-11-29 21:00:05</t>
  </si>
  <si>
    <t>Poids total</t>
  </si>
  <si>
    <t>300g</t>
  </si>
  <si>
    <t>2020-11-29 21:48:49</t>
  </si>
  <si>
    <t>Moulé Nature</t>
  </si>
  <si>
    <t>800g</t>
  </si>
  <si>
    <t>2020-11-01 10:01:31</t>
  </si>
  <si>
    <t>2020-11-01 22:32:51</t>
  </si>
  <si>
    <t>2020-11-02 14:44:39</t>
  </si>
  <si>
    <t>nom</t>
  </si>
  <si>
    <t>poids</t>
  </si>
  <si>
    <t>quantite</t>
  </si>
  <si>
    <t>850g</t>
  </si>
  <si>
    <t>Nature</t>
  </si>
  <si>
    <t>PE</t>
  </si>
  <si>
    <t>Mie Froid</t>
  </si>
  <si>
    <t>Pizza Froid</t>
  </si>
  <si>
    <t>Tournesol V2</t>
  </si>
  <si>
    <t>Total Nature</t>
  </si>
  <si>
    <t>Delta Tournesol</t>
  </si>
  <si>
    <t>PdM Vegan</t>
  </si>
  <si>
    <t>Poids pain</t>
  </si>
  <si>
    <t>Total Farine</t>
  </si>
  <si>
    <t>Farine Seigle</t>
  </si>
  <si>
    <t>Farine</t>
  </si>
  <si>
    <t>Eau</t>
  </si>
  <si>
    <t>Lev1/LevUre</t>
  </si>
  <si>
    <t>Sel</t>
  </si>
  <si>
    <t>TH</t>
  </si>
  <si>
    <t>Sucre</t>
  </si>
  <si>
    <t>Beurre</t>
  </si>
  <si>
    <t>Huile</t>
  </si>
  <si>
    <t>Oeufs</t>
  </si>
  <si>
    <t>Total pate</t>
  </si>
  <si>
    <t xml:space="preserve">1000g T45 18g sel 30g levure 50g sucre 40g beurre 520g eau 50g peuf 30g huile </t>
  </si>
  <si>
    <t>50% Farine</t>
  </si>
  <si>
    <t>Pain bis</t>
  </si>
  <si>
    <t>Base de calcul</t>
  </si>
  <si>
    <t>100% pop Bouviers ou 50Bouvier-50Biograneta ou 100% Biograneta</t>
  </si>
  <si>
    <t>100% nogal</t>
  </si>
  <si>
    <t>50% nogal/50%Belvisio</t>
  </si>
  <si>
    <t>100% touzelle Biograneta</t>
  </si>
  <si>
    <t>RespectusPanis PE Biograneta</t>
  </si>
  <si>
    <t>RespectusPanis Tournesol</t>
  </si>
  <si>
    <t>RespectusPanis Nature</t>
  </si>
  <si>
    <t>Tournesol v2</t>
  </si>
  <si>
    <t>Pain de mie Froid</t>
  </si>
  <si>
    <t>Pizzas Froid</t>
  </si>
  <si>
    <t>Pain cuit</t>
  </si>
  <si>
    <t>au garage</t>
  </si>
  <si>
    <t>avec coussin chauffant https://www.amazon.fr/dp/B07DNQ3DJF/ref=twister_B07JKPGLHC?_encoding=UTF8&amp;psc=1#customerReviews</t>
  </si>
  <si>
    <t>Farine de blé</t>
  </si>
  <si>
    <t>Levain</t>
  </si>
  <si>
    <t>Œufs / Lait</t>
  </si>
  <si>
    <t>Total Pate</t>
  </si>
  <si>
    <t>non</t>
  </si>
  <si>
    <t>https://www.caloria.fr/6339-four-patissier-230v-humidificateur-4-niveaux-diamond.html</t>
  </si>
  <si>
    <t>TH total</t>
  </si>
  <si>
    <t>https://www.quiditmieux.fr/four-a-convection-mecanique-4-niveaux-60-x-40-gn-1-1-technitalia,fr,4,FM461.cfm</t>
  </si>
  <si>
    <t>%seigle</t>
  </si>
  <si>
    <t>%levain</t>
  </si>
  <si>
    <t>https://www.chr-master.com/four-mixte-a-convection/2324-four-patissier-a-convection-avec-humidificateur-t04m-digital-gamme-torcello-venix.html</t>
  </si>
  <si>
    <t>TB</t>
  </si>
  <si>
    <t>Trop sec</t>
  </si>
  <si>
    <t>hendi</t>
  </si>
  <si>
    <t>83mm</t>
  </si>
  <si>
    <t>2 vit rot°</t>
  </si>
  <si>
    <t>https://www.stock-direct-chr.com/four-de-boulangerie-et-de-patisserie-230v-3-4-kw-225516-hendifoodserviceequipement/p19229</t>
  </si>
  <si>
    <t>Four pizza</t>
  </si>
  <si>
    <t>gastr</t>
  </si>
  <si>
    <t>0,98m²</t>
  </si>
  <si>
    <t>https://www.materielpizzadirect.com/four-a-pizza-electrique-professionnel/604-four-a-pizza-electrique-four-8-pizzas-professionnel-33-cm-230v-380v-3700912105141.html#/15-puissance-230v/14-assurance-assurance_1_an</t>
  </si>
  <si>
    <t>1,47m²</t>
  </si>
  <si>
    <t>https://www.materielpizzadirect.com/four-a-pizza-electrique-professionnel/602-four-a-pizza-electrique-professionnel-four-12-pizzas-33-cm-230v380v-3700912105158.html?search_query=prim12&amp;results=5</t>
  </si>
  <si>
    <t>Tout refrac</t>
  </si>
  <si>
    <t>https://www.materielpizzadirect.com/four-a-pizza-electrique-professionnel/14315-four-pizzas-electrique-2x6-pizzas-pizza-group-3700912105103.html?search_query=TOUT+REFRACTAIRE&amp;results=789</t>
  </si>
  <si>
    <t>https://www.gastrovens.com/fr/linea-economica/30-f66.html</t>
  </si>
  <si>
    <t>1,15m²</t>
  </si>
  <si>
    <t>https://matosprochr.fr/produit/four-a-pizza-66x30cm/</t>
  </si>
  <si>
    <t>1,30m²</t>
  </si>
  <si>
    <t>https://matosprochr.fr/produit/four-a-pizza-66x32cm/</t>
  </si>
  <si>
    <t>https://www.proinoxchr.fr/fr/fours-electriques-proline/5059-four-a-pizzas-electrique-2-chambres-triphase-12-pizzas-diametre-33cm.html</t>
  </si>
  <si>
    <t>pierre de chamotte</t>
  </si>
  <si>
    <t>https://alsace-tradition.fr/pierres-refractaires/2-pierre-refractaire-40-x-30-cm.html#/1-epaisseur-3_cm</t>
  </si>
  <si>
    <t>couche de lin</t>
  </si>
  <si>
    <t>http://www.cotonis.fr/toile-de-couche-pour-boulangerie.html</t>
  </si>
  <si>
    <t>T°Pointage 25°</t>
  </si>
  <si>
    <t>chambre de pousse</t>
  </si>
  <si>
    <t>venix 8niv 600x400</t>
  </si>
  <si>
    <t>https://www.chr-master.com/etuves-chauffantesfermentation/2357-etuve-chauffante-statique-8-niveaux-600-x-400-gn-11-pour-four-venix-b04dm-b03dm-t04dm-t06dm.html#/477-venix_four_mixte_a_vapeur_par_injection-sans</t>
  </si>
  <si>
    <t>5 rabat 10'</t>
  </si>
  <si>
    <t>Pétrin</t>
  </si>
  <si>
    <t>Pain de mie CAP</t>
  </si>
  <si>
    <t>Frigo après 1h</t>
  </si>
  <si>
    <t>axe obli</t>
  </si>
  <si>
    <t>65Litres</t>
  </si>
  <si>
    <t>https://matosprochr.fr/produit/petrin-65-litres-380v-obliques/</t>
  </si>
  <si>
    <t>340 g de levain mûr</t>
  </si>
  <si>
    <t>cuve amovile</t>
  </si>
  <si>
    <t>53Litres</t>
  </si>
  <si>
    <t>https://matosprochr.fr/produit/petrin-53-litres-tete-relevablecuve-amovible-2-vitesses-380v/</t>
  </si>
  <si>
    <t>53 Litres, Mono, vitesse var</t>
  </si>
  <si>
    <t>https://www.chr-master.com/petrin-tete-relevable-et-cuve-extractible/1292-petrins-avec-tete-soulevable-et-cuve-extractible-53-litres-monophase-modele-ir53-vs-pizza-group.html</t>
  </si>
  <si>
    <t>Oeuf</t>
  </si>
  <si>
    <t>https://www.stock-direct-chr.com/petrin-pizza-professionnel-cuve-extractible-53-litres-monophase-vitesse-variable-ir53vs-pizzagroup/p19649</t>
  </si>
  <si>
    <t>huile</t>
  </si>
  <si>
    <t>cuve amo</t>
  </si>
  <si>
    <t>32litres, 1vitesse, mono</t>
  </si>
  <si>
    <t>https://matosprochr.fr/produit/petrin-30-litres-tete-relevable-cuve-extrictableminuteur-230v-mono/</t>
  </si>
  <si>
    <t>Four boulanger</t>
  </si>
  <si>
    <t>Frigo en 60x40</t>
  </si>
  <si>
    <t>https://restaudepot31.fr/epages/LaPoste.sf/fr_FR/?ObjectPath=/Shops/box82488-170814/Products/Faf650</t>
  </si>
  <si>
    <t>Levure</t>
  </si>
  <si>
    <t>L2G frigo GN2/1</t>
  </si>
  <si>
    <t>https://www.quiditmieux.fr/armoire-refrigeree-laquee-blanc-600-litres-qdm,fr,4,AW-R600.cfm</t>
  </si>
  <si>
    <t>https://www.stock-direct-chr.com/armoire-refrigeree-blanche-plus2-plus8degrec600l-gaz-r600a-avec-3plus1-clayettes-fermeture-a-cle-aw-rc600-l2g/p17801</t>
  </si>
  <si>
    <t>frigo GN2/1</t>
  </si>
  <si>
    <t>https://www.materielpizzadirect.com/armoire-froide-1-porte/589-armoire-refrigeree-positive-paiement-4x-gn-21-garantie-2-ans-600-l-classe-n-8080898815858.html</t>
  </si>
  <si>
    <t>chambre de pousse 60x40 2ex</t>
  </si>
  <si>
    <t>Grille 800x600</t>
  </si>
  <si>
    <t>http://www.distri-chariot.com/index.php?page=afficher_produit&amp;id_com=1361324&amp;lg=1</t>
  </si>
  <si>
    <t>Panibois vicomte</t>
  </si>
  <si>
    <t>https://www.embalimat.com/moule-en-bois/304-100-pani-moule-vicomte-moule-de-cuisson-en-bois-panibois-2049300450090.html</t>
  </si>
  <si>
    <t xml:space="preserve">Filtre a Eau </t>
  </si>
  <si>
    <t>berkey</t>
  </si>
  <si>
    <t>avec robinet inox</t>
  </si>
  <si>
    <t>https://www.berkeywaterfilterseurope.fr/filtre-a-eau-crown-berkey</t>
  </si>
  <si>
    <t>Sotackage Eau bocal 5L</t>
  </si>
  <si>
    <t>https://www.amazon.fr/Bouchon-original-conservation-recettes-bormioli/dp/B00KNXSVQY/ref=sr_1_5?__mk_fr_FR=%C3%85M%C3%85%C5%BD%C3%95%C3%91&amp;keywords=bocal+10L&amp;qid=1573208165&amp;s=kitchen&amp;sr=1-5</t>
  </si>
  <si>
    <t>500g</t>
  </si>
  <si>
    <t>1Kg</t>
  </si>
  <si>
    <t>Miel</t>
  </si>
  <si>
    <t>Lait</t>
  </si>
  <si>
    <t>PdM-Vegan</t>
  </si>
  <si>
    <t>Pain de Mie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</si>
</sst>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\ %"/>
    <numFmt numFmtId="167" formatCode="0\ %"/>
  </numFmts>
  <fonts count="4" x14ac:knownFonts="1">
    <font>
      <sz val="11"/>
      <color rgb="FF000000"/>
      <name val="Calibri"/>
    </font>
    <font>
      <sz val="10"/>
      <color rgb="FF000000"/>
      <name val="Arial"/>
    </font>
    <font>
      <u/>
      <sz val="11"/>
      <color rgb="FF0066CC"/>
      <name val="Calibri"/>
    </font>
    <font>
      <sz val="12"/>
      <color rgb="FF8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6" fontId="0" fillId="2" borderId="0" xfId="0" applyNumberFormat="1" applyFill="1"/>
    <xf numFmtId="0" fontId="1" fillId="0" borderId="0" xfId="0" applyFont="1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2" borderId="0" xfId="0" applyNumberFormat="1" applyFill="1" applyAlignment="1">
      <alignment vertical="center"/>
    </xf>
    <xf numFmtId="1" fontId="0" fillId="0" borderId="0" xfId="0" applyNumberFormat="1" applyAlignment="1">
      <alignment vertical="center"/>
    </xf>
    <xf numFmtId="164" fontId="0" fillId="2" borderId="0" xfId="0" applyNumberFormat="1" applyFill="1"/>
    <xf numFmtId="164" fontId="0" fillId="0" borderId="0" xfId="0" applyNumberFormat="1"/>
    <xf numFmtId="0" fontId="2" fillId="0" borderId="0" xfId="0" applyFont="1"/>
    <xf numFmtId="167" fontId="0" fillId="0" borderId="0" xfId="0" applyNumberFormat="1"/>
    <xf numFmtId="167" fontId="0" fillId="2" borderId="0" xfId="0" applyNumberFormat="1" applyFill="1"/>
    <xf numFmtId="165" fontId="0" fillId="2" borderId="0" xfId="0" applyNumberFormat="1" applyFill="1"/>
    <xf numFmtId="2" fontId="2" fillId="0" borderId="0" xfId="0" applyNumberFormat="1" applyFont="1"/>
    <xf numFmtId="0" fontId="0" fillId="0" borderId="0" xfId="0"/>
    <xf numFmtId="0" fontId="3" fillId="0" borderId="0" xfId="0" applyFont="1"/>
    <xf numFmtId="0" fontId="0" fillId="0" borderId="0" xfId="0"/>
    <xf numFmtId="1" fontId="0" fillId="0" borderId="0" xfId="0" applyNumberFormat="1" applyAlignment="1">
      <alignment horizontal="right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astrovens.com/fr/linea-economica/30-f66.html" TargetMode="External"/><Relationship Id="rId13" Type="http://schemas.openxmlformats.org/officeDocument/2006/relationships/hyperlink" Target="http://www.cotonis.fr/toile-de-couche-pour-boulangerie.html" TargetMode="External"/><Relationship Id="rId18" Type="http://schemas.openxmlformats.org/officeDocument/2006/relationships/hyperlink" Target="https://www.stock-direct-chr.com/petrin-pizza-professionnel-cuve-extractible-53-litres-monophase-vitesse-variable-ir53vs-pizzagroup/p19649" TargetMode="External"/><Relationship Id="rId26" Type="http://schemas.openxmlformats.org/officeDocument/2006/relationships/hyperlink" Target="https://www.embalimat.com/moule-en-bois/304-100-pani-moule-vicomte-moule-de-cuisson-en-bois-panibois-2049300450090.html" TargetMode="External"/><Relationship Id="rId3" Type="http://schemas.openxmlformats.org/officeDocument/2006/relationships/hyperlink" Target="https://www.chr-master.com/four-mixte-a-convection/2324-four-patissier-a-convection-avec-humidificateur-t04m-digital-gamme-torcello-venix.html" TargetMode="External"/><Relationship Id="rId21" Type="http://schemas.openxmlformats.org/officeDocument/2006/relationships/hyperlink" Target="https://www.quiditmieux.fr/armoire-refrigeree-laquee-blanc-600-litres-qdm,fr,4,AW-R600.cfm" TargetMode="External"/><Relationship Id="rId7" Type="http://schemas.openxmlformats.org/officeDocument/2006/relationships/hyperlink" Target="https://www.materielpizzadirect.com/four-a-pizza-electrique-professionnel/14315-four-pizzas-electrique-2x6-pizzas-pizza-group-3700912105103.html?search_query=TOUT+REFRACTAIRE&amp;results=789" TargetMode="External"/><Relationship Id="rId12" Type="http://schemas.openxmlformats.org/officeDocument/2006/relationships/hyperlink" Target="https://alsace-tradition.fr/pierres-refractaires/2-pierre-refractaire-40-x-30-cm.html" TargetMode="External"/><Relationship Id="rId17" Type="http://schemas.openxmlformats.org/officeDocument/2006/relationships/hyperlink" Target="https://www.chr-master.com/petrin-tete-relevable-et-cuve-extractible/1292-petrins-avec-tete-soulevable-et-cuve-extractible-53-litres-monophase-modele-ir53-vs-pizza-group.html" TargetMode="External"/><Relationship Id="rId25" Type="http://schemas.openxmlformats.org/officeDocument/2006/relationships/hyperlink" Target="http://www.distri-chariot.com/index.php?page=afficher_produit&amp;id_com=1361324&amp;lg=1" TargetMode="External"/><Relationship Id="rId2" Type="http://schemas.openxmlformats.org/officeDocument/2006/relationships/hyperlink" Target="https://www.quiditmieux.fr/four-a-convection-mecanique-4-niveaux-60-x-40-gn-1-1-technitalia,fr,4,FM461.cfm" TargetMode="External"/><Relationship Id="rId16" Type="http://schemas.openxmlformats.org/officeDocument/2006/relationships/hyperlink" Target="https://matosprochr.fr/produit/petrin-53-litres-tete-relevablecuve-amovible-2-vitesses-380v/" TargetMode="External"/><Relationship Id="rId20" Type="http://schemas.openxmlformats.org/officeDocument/2006/relationships/hyperlink" Target="https://restaudepot31.fr/epages/LaPoste.sf/fr_FR/?ObjectPath=/Shops/box82488-170814/Products/Faf650" TargetMode="External"/><Relationship Id="rId1" Type="http://schemas.openxmlformats.org/officeDocument/2006/relationships/hyperlink" Target="https://www.caloria.fr/6339-four-patissier-230v-humidificateur-4-niveaux-diamond.html" TargetMode="External"/><Relationship Id="rId6" Type="http://schemas.openxmlformats.org/officeDocument/2006/relationships/hyperlink" Target="https://www.materielpizzadirect.com/four-a-pizza-electrique-professionnel/602-four-a-pizza-electrique-professionnel-four-12-pizzas-33-cm-230v380v-3700912105158.html?search_query=prim12&amp;results=5" TargetMode="External"/><Relationship Id="rId11" Type="http://schemas.openxmlformats.org/officeDocument/2006/relationships/hyperlink" Target="https://www.proinoxchr.fr/fr/fours-electriques-proline/5059-four-a-pizzas-electrique-2-chambres-triphase-12-pizzas-diametre-33cm.html" TargetMode="External"/><Relationship Id="rId2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5" Type="http://schemas.openxmlformats.org/officeDocument/2006/relationships/hyperlink" Target="https://www.materielpizzadirect.com/four-a-pizza-electrique-professionnel/604-four-a-pizza-electrique-four-8-pizzas-professionnel-33-cm-230v-380v-3700912105141.html" TargetMode="External"/><Relationship Id="rId15" Type="http://schemas.openxmlformats.org/officeDocument/2006/relationships/hyperlink" Target="https://matosprochr.fr/produit/petrin-65-litres-380v-obliques/" TargetMode="External"/><Relationship Id="rId23" Type="http://schemas.openxmlformats.org/officeDocument/2006/relationships/hyperlink" Target="https://www.materielpizzadirect.com/armoire-froide-1-porte/589-armoire-refrigeree-positive-paiement-4x-gn-21-garantie-2-ans-600-l-classe-n-8080898815858.html" TargetMode="External"/><Relationship Id="rId28" Type="http://schemas.openxmlformats.org/officeDocument/2006/relationships/hyperlink" Target="https://www.amazon.fr/Bouchon-original-conservation-recettes-bormioli/dp/B00KNXSVQY/ref=sr_1_5?__mk_fr_FR=&#197;M&#197;&#381;&#213;&#209;&amp;keywords=bocal+10L&amp;qid=1573208165&amp;s=kitchen&amp;sr=1-5" TargetMode="External"/><Relationship Id="rId10" Type="http://schemas.openxmlformats.org/officeDocument/2006/relationships/hyperlink" Target="https://matosprochr.fr/produit/four-a-pizza-66x32cm/" TargetMode="External"/><Relationship Id="rId19" Type="http://schemas.openxmlformats.org/officeDocument/2006/relationships/hyperlink" Target="https://matosprochr.fr/produit/petrin-30-litres-tete-relevable-cuve-extrictableminuteur-230v-mono/" TargetMode="External"/><Relationship Id="rId4" Type="http://schemas.openxmlformats.org/officeDocument/2006/relationships/hyperlink" Target="https://www.stock-direct-chr.com/four-de-boulangerie-et-de-patisserie-230v-3-4-kw-225516-hendifoodserviceequipement/p19229" TargetMode="External"/><Relationship Id="rId9" Type="http://schemas.openxmlformats.org/officeDocument/2006/relationships/hyperlink" Target="https://matosprochr.fr/produit/four-a-pizza-66x30cm/" TargetMode="External"/><Relationship Id="rId1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22" Type="http://schemas.openxmlformats.org/officeDocument/2006/relationships/hyperlink" Target="https://www.stock-direct-chr.com/armoire-refrigeree-blanche-plus2-plus8degrec600l-gaz-r600a-avec-3plus1-clayettes-fermeture-a-cle-aw-rc600-l2g/p17801" TargetMode="External"/><Relationship Id="rId27" Type="http://schemas.openxmlformats.org/officeDocument/2006/relationships/hyperlink" Target="https://www.berkeywaterfilterseurope.fr/filtre-a-eau-crown-berk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E1" workbookViewId="0">
      <selection activeCell="G23" sqref="G23"/>
    </sheetView>
  </sheetViews>
  <sheetFormatPr baseColWidth="10" defaultColWidth="9.06640625" defaultRowHeight="14.25" x14ac:dyDescent="0.45"/>
  <cols>
    <col min="1" max="4" width="0" hidden="1" customWidth="1"/>
    <col min="5" max="5" width="22.06640625" customWidth="1"/>
    <col min="7" max="7" width="10.3984375" bestFit="1" customWidth="1"/>
    <col min="8" max="8" width="17.59765625" bestFit="1" customWidth="1"/>
    <col min="9" max="9" width="14.86328125" bestFit="1" customWidth="1"/>
    <col min="10" max="10" width="14.3984375" bestFit="1" customWidth="1"/>
    <col min="12" max="12" width="10.6640625" customWidth="1"/>
    <col min="15" max="15" width="10.796875" bestFit="1" customWidth="1"/>
    <col min="16" max="16" width="9.86328125" bestFit="1" customWidth="1"/>
  </cols>
  <sheetData>
    <row r="1" spans="1:16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45">
      <c r="A2" t="s">
        <v>1</v>
      </c>
      <c r="B2" t="s">
        <v>2</v>
      </c>
      <c r="C2" t="s">
        <v>3</v>
      </c>
      <c r="D2" t="s">
        <v>4</v>
      </c>
    </row>
    <row r="3" spans="1:16" x14ac:dyDescent="0.45">
      <c r="A3" s="1">
        <v>1159</v>
      </c>
      <c r="B3" s="1" t="s">
        <v>5</v>
      </c>
      <c r="C3" s="1" t="s">
        <v>6</v>
      </c>
      <c r="D3" s="1" t="s">
        <v>7</v>
      </c>
      <c r="E3" s="1"/>
      <c r="F3" s="1"/>
      <c r="G3" s="1"/>
      <c r="H3" s="1"/>
      <c r="I3" s="1"/>
      <c r="J3" s="1"/>
      <c r="M3" s="21" t="str">
        <f>Recettes!B1</f>
        <v>Nature</v>
      </c>
      <c r="N3" s="21" t="str">
        <f>Recettes!C1</f>
        <v>PE</v>
      </c>
      <c r="O3" t="s">
        <v>10</v>
      </c>
      <c r="P3" t="s">
        <v>160</v>
      </c>
    </row>
    <row r="4" spans="1:16" x14ac:dyDescent="0.45">
      <c r="A4" s="1">
        <v>1157</v>
      </c>
      <c r="B4" s="1" t="s">
        <v>5</v>
      </c>
      <c r="C4" s="1" t="s">
        <v>11</v>
      </c>
      <c r="D4" s="1" t="s">
        <v>7</v>
      </c>
      <c r="E4" s="1"/>
      <c r="F4" s="1"/>
      <c r="G4" s="1"/>
      <c r="H4" s="1"/>
      <c r="I4" s="1"/>
      <c r="J4" s="1"/>
      <c r="L4" s="21" t="str">
        <f>Recettes!A2</f>
        <v>Poids pain</v>
      </c>
      <c r="M4" s="10">
        <f>Recettes!B2</f>
        <v>200</v>
      </c>
      <c r="N4" s="10">
        <f>Recettes!C2</f>
        <v>0</v>
      </c>
      <c r="O4">
        <f>Recettes!G2</f>
        <v>0</v>
      </c>
      <c r="P4">
        <f>Recettes!K2</f>
        <v>0</v>
      </c>
    </row>
    <row r="5" spans="1:16" x14ac:dyDescent="0.45">
      <c r="A5" s="1">
        <v>1158</v>
      </c>
      <c r="B5" s="1" t="s">
        <v>14</v>
      </c>
      <c r="C5" s="1" t="s">
        <v>15</v>
      </c>
      <c r="D5" s="1" t="s">
        <v>7</v>
      </c>
      <c r="E5" s="1"/>
      <c r="F5" s="1"/>
      <c r="G5" s="1"/>
      <c r="H5" s="1"/>
      <c r="I5" s="1"/>
      <c r="J5" s="1"/>
      <c r="L5" s="21" t="str">
        <f>Recettes!A3</f>
        <v>Total Farine</v>
      </c>
      <c r="M5" s="10">
        <f>Recettes!B3</f>
        <v>127.25543478260869</v>
      </c>
      <c r="N5" s="10">
        <f>Recettes!C3</f>
        <v>0</v>
      </c>
      <c r="O5" s="10"/>
      <c r="P5" s="10">
        <f>Recettes!K3</f>
        <v>0</v>
      </c>
    </row>
    <row r="6" spans="1:16" x14ac:dyDescent="0.45">
      <c r="A6" s="1">
        <v>1158</v>
      </c>
      <c r="B6" s="1" t="s">
        <v>14</v>
      </c>
      <c r="C6" s="1" t="s">
        <v>15</v>
      </c>
      <c r="D6" s="1" t="s">
        <v>7</v>
      </c>
      <c r="E6" s="1"/>
      <c r="F6" s="1"/>
      <c r="G6" s="1"/>
      <c r="H6" s="1"/>
      <c r="I6" s="1"/>
      <c r="J6" s="1"/>
      <c r="L6" s="21"/>
      <c r="M6" s="10"/>
      <c r="N6" s="10"/>
      <c r="O6" t="str">
        <f>"Paton : "&amp;Recettes!I4</f>
        <v>Paton : 0</v>
      </c>
      <c r="P6" s="10">
        <f>Recettes!K4</f>
        <v>0</v>
      </c>
    </row>
    <row r="7" spans="1:16" x14ac:dyDescent="0.45">
      <c r="A7" s="1">
        <v>1163</v>
      </c>
      <c r="B7" s="1" t="s">
        <v>14</v>
      </c>
      <c r="C7" s="1" t="s">
        <v>18</v>
      </c>
      <c r="D7" s="1" t="s">
        <v>7</v>
      </c>
      <c r="E7" s="1"/>
      <c r="F7" s="1"/>
      <c r="G7" s="1"/>
      <c r="H7" s="1"/>
      <c r="I7" s="1"/>
      <c r="J7" s="1"/>
      <c r="L7" s="21" t="str">
        <f>Recettes!A5</f>
        <v>Farine Seigle</v>
      </c>
      <c r="M7" s="10">
        <f>Recettes!B5</f>
        <v>4.5380434782608692</v>
      </c>
      <c r="N7" s="10"/>
      <c r="O7" s="10" t="str">
        <f>"Graine : "&amp;Recettes!I5</f>
        <v>Graine : 0</v>
      </c>
      <c r="P7" s="10">
        <f>Recettes!K5</f>
        <v>0</v>
      </c>
    </row>
    <row r="8" spans="1:16" x14ac:dyDescent="0.45">
      <c r="A8" s="1">
        <v>1162</v>
      </c>
      <c r="B8" s="1" t="s">
        <v>5</v>
      </c>
      <c r="C8" s="1" t="s">
        <v>22</v>
      </c>
      <c r="D8" s="1" t="s">
        <v>7</v>
      </c>
      <c r="E8" s="1"/>
      <c r="F8" s="1"/>
      <c r="G8" s="1"/>
      <c r="H8" s="1"/>
      <c r="I8" s="1"/>
      <c r="J8" s="1"/>
      <c r="L8" s="21" t="str">
        <f>Recettes!A6</f>
        <v>Farine</v>
      </c>
      <c r="M8" s="24" t="str">
        <f>"3x"&amp;ROUND(Recettes!B6/3,0)</f>
        <v>3x41</v>
      </c>
      <c r="N8" s="10">
        <f>Recettes!C6</f>
        <v>0</v>
      </c>
      <c r="O8" s="10"/>
      <c r="P8" s="10">
        <f>Recettes!K6</f>
        <v>0</v>
      </c>
    </row>
    <row r="9" spans="1:16" x14ac:dyDescent="0.45">
      <c r="A9" s="1">
        <v>1154</v>
      </c>
      <c r="B9" s="1" t="s">
        <v>14</v>
      </c>
      <c r="C9" s="1" t="s">
        <v>23</v>
      </c>
      <c r="D9" s="1" t="s">
        <v>7</v>
      </c>
      <c r="E9" s="1"/>
      <c r="F9" s="1"/>
      <c r="G9" s="1"/>
      <c r="H9" s="1"/>
      <c r="I9" s="1"/>
      <c r="J9" s="1"/>
      <c r="L9" s="21" t="str">
        <f>Recettes!A7</f>
        <v>Eau</v>
      </c>
      <c r="M9" s="10">
        <f>Recettes!B7</f>
        <v>82.608695652173907</v>
      </c>
      <c r="N9" s="10">
        <f>Recettes!C7</f>
        <v>0</v>
      </c>
      <c r="O9" s="10">
        <f>Recettes!I7</f>
        <v>0</v>
      </c>
      <c r="P9" s="10">
        <f>Recettes!K7</f>
        <v>0</v>
      </c>
    </row>
    <row r="10" spans="1:16" x14ac:dyDescent="0.45">
      <c r="A10" s="1">
        <v>1161</v>
      </c>
      <c r="B10" s="1" t="s">
        <v>5</v>
      </c>
      <c r="C10" s="1" t="s">
        <v>24</v>
      </c>
      <c r="D10" s="1" t="s">
        <v>7</v>
      </c>
      <c r="E10" s="1"/>
      <c r="F10" s="1"/>
      <c r="G10" s="1"/>
      <c r="H10" s="1"/>
      <c r="I10" s="1"/>
      <c r="J10" s="1"/>
      <c r="L10" s="21" t="str">
        <f>Recettes!A8</f>
        <v>Lev1/LevUre</v>
      </c>
      <c r="M10" s="10">
        <f>Recettes!B8</f>
        <v>28.532608695652172</v>
      </c>
      <c r="N10" s="15">
        <f>Recettes!C8</f>
        <v>0</v>
      </c>
      <c r="O10" s="10"/>
      <c r="P10" s="15">
        <f>Recettes!K8</f>
        <v>0</v>
      </c>
    </row>
    <row r="11" spans="1:16" x14ac:dyDescent="0.45">
      <c r="A11" s="1">
        <v>1164</v>
      </c>
      <c r="B11" s="1" t="s">
        <v>14</v>
      </c>
      <c r="C11" s="1" t="s">
        <v>25</v>
      </c>
      <c r="D11" s="1" t="s">
        <v>7</v>
      </c>
      <c r="E11" s="1"/>
      <c r="F11" s="1"/>
      <c r="G11" s="1"/>
      <c r="H11" s="1"/>
      <c r="I11" s="1"/>
      <c r="J11" s="1"/>
      <c r="L11" s="21" t="str">
        <f>Recettes!A9</f>
        <v>Sel</v>
      </c>
      <c r="M11" s="10">
        <f>Recettes!B9</f>
        <v>2.2826086956521738</v>
      </c>
      <c r="N11" s="10">
        <f>Recettes!C9</f>
        <v>0</v>
      </c>
      <c r="O11" s="10"/>
      <c r="P11" s="10">
        <f>Recettes!K9</f>
        <v>0</v>
      </c>
    </row>
    <row r="12" spans="1:16" x14ac:dyDescent="0.45">
      <c r="A12" s="1">
        <v>1164</v>
      </c>
      <c r="B12" s="1" t="s">
        <v>14</v>
      </c>
      <c r="C12" s="1" t="s">
        <v>25</v>
      </c>
      <c r="D12" s="1" t="s">
        <v>7</v>
      </c>
      <c r="E12" s="1"/>
      <c r="F12" s="1"/>
      <c r="G12" s="1"/>
      <c r="H12" s="1"/>
      <c r="I12" s="1"/>
      <c r="J12" s="1"/>
      <c r="L12" s="21" t="s">
        <v>158</v>
      </c>
      <c r="M12" s="21"/>
      <c r="N12" s="4"/>
      <c r="P12" s="10">
        <f>Recettes!K10</f>
        <v>0</v>
      </c>
    </row>
    <row r="13" spans="1:16" x14ac:dyDescent="0.45">
      <c r="A13" s="1">
        <v>1153</v>
      </c>
      <c r="B13" s="1" t="s">
        <v>5</v>
      </c>
      <c r="C13" s="1" t="s">
        <v>27</v>
      </c>
      <c r="D13" s="1" t="s">
        <v>7</v>
      </c>
      <c r="E13" s="1"/>
      <c r="F13" s="1"/>
      <c r="G13" s="1"/>
      <c r="H13" s="1"/>
      <c r="I13" s="1"/>
      <c r="J13" s="1"/>
      <c r="L13" t="s">
        <v>58</v>
      </c>
      <c r="P13" s="10">
        <f>Recettes!K11</f>
        <v>0</v>
      </c>
    </row>
    <row r="14" spans="1:16" x14ac:dyDescent="0.45">
      <c r="A14" s="1">
        <v>1153</v>
      </c>
      <c r="B14" s="1" t="s">
        <v>5</v>
      </c>
      <c r="C14" s="1" t="s">
        <v>27</v>
      </c>
      <c r="D14" s="1" t="s">
        <v>7</v>
      </c>
      <c r="E14" s="1"/>
      <c r="F14" s="1"/>
      <c r="G14" s="1"/>
      <c r="H14" s="1"/>
      <c r="I14" s="1"/>
      <c r="J14" s="1"/>
      <c r="L14" s="21" t="s">
        <v>159</v>
      </c>
      <c r="M14" s="21"/>
      <c r="P14" s="10">
        <f>Recettes!K12</f>
        <v>0</v>
      </c>
    </row>
    <row r="15" spans="1:16" x14ac:dyDescent="0.45">
      <c r="A15" s="1">
        <v>1155</v>
      </c>
      <c r="B15" s="1" t="s">
        <v>5</v>
      </c>
      <c r="C15" s="1" t="s">
        <v>30</v>
      </c>
      <c r="D15" s="1" t="s">
        <v>7</v>
      </c>
      <c r="E15" s="1"/>
      <c r="F15" s="1"/>
      <c r="G15" s="1"/>
      <c r="H15" s="1"/>
      <c r="I15" s="1"/>
      <c r="J15" s="1"/>
      <c r="L15" s="23" t="s">
        <v>28</v>
      </c>
      <c r="M15" s="10">
        <f>Recettes!B15-Recettes!I4</f>
        <v>241.32850434968299</v>
      </c>
      <c r="N15" s="10">
        <f>Recettes!C15</f>
        <v>0</v>
      </c>
      <c r="O15" s="10">
        <f>Recettes!I4+Recettes!I5+Recettes!I7</f>
        <v>0</v>
      </c>
      <c r="P15" s="10">
        <f>Recettes!K15</f>
        <v>0</v>
      </c>
    </row>
    <row r="16" spans="1:16" x14ac:dyDescent="0.45">
      <c r="A16" s="1">
        <v>1015</v>
      </c>
      <c r="B16" s="1" t="s">
        <v>14</v>
      </c>
      <c r="C16" s="1" t="s">
        <v>33</v>
      </c>
      <c r="D16" s="1" t="s">
        <v>7</v>
      </c>
      <c r="E16" s="1"/>
      <c r="F16" s="1"/>
      <c r="G16" s="1"/>
      <c r="H16" s="1"/>
      <c r="I16" s="1"/>
      <c r="J16" s="1"/>
      <c r="M16" s="10"/>
    </row>
    <row r="17" spans="1:10" x14ac:dyDescent="0.45">
      <c r="A17" s="1">
        <v>1022</v>
      </c>
      <c r="B17" s="1" t="s">
        <v>14</v>
      </c>
      <c r="C17" s="1" t="s">
        <v>34</v>
      </c>
      <c r="D17" s="1" t="s">
        <v>7</v>
      </c>
      <c r="E17" s="1"/>
      <c r="F17" s="1"/>
      <c r="G17" s="1"/>
      <c r="H17" s="1"/>
      <c r="I17" s="1"/>
      <c r="J17" s="1"/>
    </row>
    <row r="18" spans="1:10" x14ac:dyDescent="0.45">
      <c r="A18" s="1">
        <v>1022</v>
      </c>
      <c r="B18" s="1" t="s">
        <v>14</v>
      </c>
      <c r="C18" s="1" t="s">
        <v>34</v>
      </c>
      <c r="D18" s="1" t="s">
        <v>7</v>
      </c>
      <c r="E18" s="1"/>
      <c r="F18" s="1"/>
      <c r="G18" s="1"/>
      <c r="H18" s="1"/>
      <c r="I18" s="1"/>
      <c r="J18" s="1"/>
    </row>
    <row r="19" spans="1:10" x14ac:dyDescent="0.45">
      <c r="A19" s="1">
        <v>1027</v>
      </c>
      <c r="B19" s="1" t="s">
        <v>5</v>
      </c>
      <c r="C19" s="1" t="s">
        <v>35</v>
      </c>
      <c r="D19" s="1" t="s">
        <v>7</v>
      </c>
      <c r="E19" s="1"/>
      <c r="F19" s="1"/>
      <c r="G19" s="1"/>
      <c r="H19" s="1"/>
      <c r="I19" s="1"/>
      <c r="J19" s="1"/>
    </row>
    <row r="20" spans="1:10" x14ac:dyDescent="0.45">
      <c r="A20" s="1">
        <v>1027</v>
      </c>
      <c r="B20" s="1" t="s">
        <v>5</v>
      </c>
      <c r="C20" s="1" t="s">
        <v>35</v>
      </c>
      <c r="D20" s="1" t="s">
        <v>7</v>
      </c>
      <c r="E20" s="1"/>
      <c r="F20" s="1"/>
      <c r="G20" s="1"/>
      <c r="H20" s="1"/>
      <c r="I20" s="1"/>
      <c r="J20" s="1"/>
    </row>
    <row r="21" spans="1:10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1.0629921259843" bottom="1.0629921259843" header="0.78740157480314998" footer="0.78740157480314998"/>
  <pageSetup paperSize="9" scale="88" orientation="landscape" r:id="rId1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C19" sqref="C19"/>
    </sheetView>
  </sheetViews>
  <sheetFormatPr baseColWidth="10" defaultColWidth="9.06640625" defaultRowHeight="14.25" x14ac:dyDescent="0.45"/>
  <cols>
    <col min="1" max="1" width="26.73046875" customWidth="1"/>
    <col min="2" max="2" width="17.59765625" customWidth="1"/>
    <col min="3" max="3" width="13.53125" customWidth="1"/>
    <col min="6" max="6" width="3.6640625" customWidth="1"/>
  </cols>
  <sheetData>
    <row r="1" spans="1:7" x14ac:dyDescent="0.45">
      <c r="A1" s="1" t="s">
        <v>0</v>
      </c>
      <c r="B1" s="1"/>
      <c r="C1" s="1"/>
    </row>
    <row r="2" spans="1:7" x14ac:dyDescent="0.45">
      <c r="A2" s="1" t="s">
        <v>36</v>
      </c>
      <c r="B2" s="1" t="s">
        <v>37</v>
      </c>
      <c r="C2" s="1" t="s">
        <v>38</v>
      </c>
      <c r="D2" t="s">
        <v>28</v>
      </c>
    </row>
    <row r="3" spans="1:7" x14ac:dyDescent="0.45">
      <c r="A3" s="1" t="s">
        <v>8</v>
      </c>
      <c r="B3" s="1" t="s">
        <v>9</v>
      </c>
      <c r="C3" s="25"/>
      <c r="D3">
        <f>C3*0.6</f>
        <v>0</v>
      </c>
    </row>
    <row r="4" spans="1:7" x14ac:dyDescent="0.45">
      <c r="A4" s="1" t="s">
        <v>8</v>
      </c>
      <c r="B4" s="1" t="s">
        <v>20</v>
      </c>
      <c r="C4" s="25"/>
      <c r="D4">
        <f>C4*1</f>
        <v>0</v>
      </c>
    </row>
    <row r="5" spans="1:7" x14ac:dyDescent="0.45">
      <c r="A5" s="1" t="s">
        <v>31</v>
      </c>
      <c r="B5" s="1" t="s">
        <v>9</v>
      </c>
      <c r="C5" s="25"/>
      <c r="D5" s="23">
        <f>C5*0.6</f>
        <v>0</v>
      </c>
    </row>
    <row r="6" spans="1:7" x14ac:dyDescent="0.45">
      <c r="A6" s="1" t="s">
        <v>31</v>
      </c>
      <c r="B6" s="1" t="s">
        <v>32</v>
      </c>
      <c r="C6" s="25"/>
      <c r="D6" s="23">
        <f>C6*0.8</f>
        <v>0</v>
      </c>
    </row>
    <row r="7" spans="1:7" x14ac:dyDescent="0.45">
      <c r="A7" s="1" t="s">
        <v>31</v>
      </c>
      <c r="B7" s="1" t="s">
        <v>20</v>
      </c>
      <c r="C7" s="25"/>
      <c r="D7">
        <f>C7*1</f>
        <v>0</v>
      </c>
      <c r="E7" s="25"/>
      <c r="F7" s="25"/>
      <c r="G7" s="25"/>
    </row>
    <row r="8" spans="1:7" x14ac:dyDescent="0.45">
      <c r="A8" s="1" t="s">
        <v>12</v>
      </c>
      <c r="B8" s="1" t="s">
        <v>39</v>
      </c>
      <c r="C8" s="1"/>
      <c r="D8">
        <f>C8*0.85</f>
        <v>0</v>
      </c>
      <c r="E8" s="25"/>
      <c r="F8" s="25"/>
      <c r="G8" s="25"/>
    </row>
    <row r="9" spans="1:7" x14ac:dyDescent="0.45">
      <c r="A9" s="1" t="s">
        <v>12</v>
      </c>
      <c r="B9" s="1" t="s">
        <v>13</v>
      </c>
      <c r="C9" s="1"/>
      <c r="D9">
        <f>C9*0.65</f>
        <v>0</v>
      </c>
      <c r="E9" s="25"/>
      <c r="F9" s="25"/>
      <c r="G9" s="25"/>
    </row>
    <row r="10" spans="1:7" x14ac:dyDescent="0.45">
      <c r="A10" s="1" t="s">
        <v>16</v>
      </c>
      <c r="B10" s="1" t="s">
        <v>13</v>
      </c>
      <c r="C10" s="1"/>
      <c r="D10" s="23">
        <f>C10*0.65</f>
        <v>0</v>
      </c>
      <c r="E10" s="25"/>
      <c r="F10" s="25"/>
      <c r="G10" s="25"/>
    </row>
    <row r="11" spans="1:7" x14ac:dyDescent="0.45">
      <c r="A11" s="1" t="s">
        <v>19</v>
      </c>
      <c r="B11" s="1" t="s">
        <v>9</v>
      </c>
      <c r="C11" s="1"/>
      <c r="D11">
        <f>C11*0.6</f>
        <v>0</v>
      </c>
      <c r="E11" s="25"/>
      <c r="F11" s="25"/>
      <c r="G11" s="25"/>
    </row>
    <row r="12" spans="1:7" x14ac:dyDescent="0.45">
      <c r="A12" s="1" t="s">
        <v>19</v>
      </c>
      <c r="B12" s="1" t="s">
        <v>20</v>
      </c>
      <c r="C12" s="1"/>
      <c r="D12" s="23">
        <f>C12*1</f>
        <v>0</v>
      </c>
      <c r="E12" s="25"/>
      <c r="F12" s="25"/>
      <c r="G12" s="25"/>
    </row>
    <row r="13" spans="1:7" x14ac:dyDescent="0.45">
      <c r="A13" s="1" t="s">
        <v>19</v>
      </c>
      <c r="B13" s="1" t="s">
        <v>29</v>
      </c>
      <c r="C13" s="1"/>
      <c r="D13">
        <f>C13*0.3</f>
        <v>0</v>
      </c>
      <c r="E13" s="25"/>
      <c r="F13" s="25"/>
      <c r="G13" s="25"/>
    </row>
    <row r="14" spans="1:7" x14ac:dyDescent="0.45">
      <c r="A14" s="1" t="s">
        <v>19</v>
      </c>
      <c r="B14" s="1" t="s">
        <v>26</v>
      </c>
      <c r="C14" s="1"/>
      <c r="D14">
        <f>C14*1</f>
        <v>0</v>
      </c>
      <c r="E14" s="25"/>
      <c r="F14" s="25"/>
      <c r="G14" s="25"/>
    </row>
    <row r="15" spans="1:7" x14ac:dyDescent="0.45">
      <c r="A15" s="1" t="s">
        <v>161</v>
      </c>
      <c r="B15" s="1" t="s">
        <v>156</v>
      </c>
      <c r="C15" s="1"/>
      <c r="D15">
        <f>C15*0.5</f>
        <v>0</v>
      </c>
      <c r="E15" s="25"/>
      <c r="F15" s="25"/>
      <c r="G15" s="25"/>
    </row>
    <row r="16" spans="1:7" s="25" customFormat="1" x14ac:dyDescent="0.45">
      <c r="A16" s="25" t="s">
        <v>161</v>
      </c>
      <c r="B16" s="25" t="s">
        <v>157</v>
      </c>
      <c r="D16" s="25">
        <f>C16*1</f>
        <v>0</v>
      </c>
    </row>
    <row r="17" spans="1:7" s="25" customFormat="1" x14ac:dyDescent="0.45"/>
    <row r="18" spans="1:7" x14ac:dyDescent="0.45">
      <c r="A18" s="1"/>
      <c r="B18" s="1"/>
      <c r="C18" s="1"/>
      <c r="E18" s="25"/>
      <c r="F18" s="25"/>
      <c r="G18" s="25"/>
    </row>
    <row r="19" spans="1:7" x14ac:dyDescent="0.45">
      <c r="A19" s="1"/>
      <c r="B19" s="1"/>
      <c r="C19" s="1"/>
      <c r="E19" s="25"/>
      <c r="F19" s="25"/>
      <c r="G19" s="25"/>
    </row>
    <row r="20" spans="1:7" x14ac:dyDescent="0.45">
      <c r="A20" s="1"/>
      <c r="B20" s="1"/>
      <c r="C20" s="1"/>
      <c r="E20" s="25"/>
      <c r="F20" s="25"/>
      <c r="G20" s="25"/>
    </row>
    <row r="21" spans="1:7" x14ac:dyDescent="0.45">
      <c r="E21" s="25"/>
      <c r="F21" s="25"/>
      <c r="G21" s="25"/>
    </row>
    <row r="22" spans="1:7" x14ac:dyDescent="0.45">
      <c r="E22" s="25"/>
      <c r="F22" s="25"/>
      <c r="G22" s="25"/>
    </row>
    <row r="23" spans="1:7" x14ac:dyDescent="0.45">
      <c r="E23" s="25"/>
      <c r="F23" s="25"/>
      <c r="G23" s="25"/>
    </row>
    <row r="24" spans="1:7" x14ac:dyDescent="0.45">
      <c r="E24" s="25"/>
      <c r="F24" s="25"/>
      <c r="G24" s="25"/>
    </row>
    <row r="25" spans="1:7" x14ac:dyDescent="0.45">
      <c r="E25" s="25"/>
      <c r="F25" s="25"/>
      <c r="G25" s="25"/>
    </row>
    <row r="26" spans="1:7" x14ac:dyDescent="0.45">
      <c r="E26" s="25"/>
      <c r="F26" s="25"/>
      <c r="G26" s="25"/>
    </row>
    <row r="27" spans="1:7" x14ac:dyDescent="0.45">
      <c r="E27" s="25"/>
      <c r="F27" s="25"/>
      <c r="G27" s="25"/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1.0629921259843" bottom="1.0629921259843" header="0.78740157480314998" footer="0.78740157480314998"/>
  <pageSetup paperSize="9" orientation="landscape" r:id="rId1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workbookViewId="0">
      <selection activeCell="O19" sqref="O19"/>
    </sheetView>
  </sheetViews>
  <sheetFormatPr baseColWidth="10" defaultColWidth="9.06640625" defaultRowHeight="14.25" x14ac:dyDescent="0.45"/>
  <sheetData>
    <row r="1" spans="1:13" x14ac:dyDescent="0.45">
      <c r="B1" t="s">
        <v>40</v>
      </c>
      <c r="C1" t="s">
        <v>41</v>
      </c>
      <c r="D1" t="s">
        <v>10</v>
      </c>
      <c r="E1" t="s">
        <v>42</v>
      </c>
      <c r="F1" t="s">
        <v>43</v>
      </c>
      <c r="G1" t="s">
        <v>44</v>
      </c>
      <c r="H1" t="s">
        <v>45</v>
      </c>
      <c r="I1" t="s">
        <v>46</v>
      </c>
      <c r="K1" t="s">
        <v>47</v>
      </c>
    </row>
    <row r="2" spans="1:13" x14ac:dyDescent="0.45">
      <c r="A2" t="s">
        <v>48</v>
      </c>
      <c r="B2">
        <f>SUM(cp_recap!D3:D7)*1000+200+(I2-I5)</f>
        <v>200</v>
      </c>
      <c r="C2">
        <f>SUM(cp_recap!D11:D14)*1000</f>
        <v>0</v>
      </c>
      <c r="D2" s="23"/>
      <c r="E2">
        <f>SUM(cp_recap!D11:D12)*1000</f>
        <v>0</v>
      </c>
      <c r="F2">
        <v>1000</v>
      </c>
      <c r="G2">
        <f>SUM(cp_recap!D8:D10)*1000</f>
        <v>0</v>
      </c>
      <c r="H2">
        <f>G2+B2</f>
        <v>200</v>
      </c>
      <c r="I2">
        <f>SUM(cp_recap!D8:D10)*1000</f>
        <v>0</v>
      </c>
      <c r="K2">
        <f>SUM(cp_recap!D15:D16)*1000</f>
        <v>0</v>
      </c>
    </row>
    <row r="3" spans="1:13" x14ac:dyDescent="0.45">
      <c r="A3" t="s">
        <v>49</v>
      </c>
      <c r="B3" s="2">
        <f>$B$2/D$19*D$20</f>
        <v>127.25543478260869</v>
      </c>
      <c r="C3" s="2">
        <f>$C2/I$19*I$20</f>
        <v>0</v>
      </c>
      <c r="D3" s="2">
        <f>$D2/J$19*J$20</f>
        <v>0</v>
      </c>
      <c r="E3" s="2">
        <f>$E2/M$19*M$20</f>
        <v>0</v>
      </c>
      <c r="F3" s="2">
        <f>$F2/N$19*N$20</f>
        <v>640</v>
      </c>
      <c r="G3" s="2">
        <f>$G2/L$19*L$20</f>
        <v>0</v>
      </c>
      <c r="H3" s="2">
        <f>H5+H6</f>
        <v>127.2554347826087</v>
      </c>
      <c r="K3" s="10">
        <f>K2/O19*O20</f>
        <v>0</v>
      </c>
    </row>
    <row r="4" spans="1:13" x14ac:dyDescent="0.45">
      <c r="I4">
        <f>670*I2/650</f>
        <v>0</v>
      </c>
      <c r="J4" t="s">
        <v>17</v>
      </c>
    </row>
    <row r="5" spans="1:13" x14ac:dyDescent="0.45">
      <c r="A5" t="s">
        <v>50</v>
      </c>
      <c r="B5" s="2">
        <f>$B$2/$D$19*D22</f>
        <v>4.5380434782608692</v>
      </c>
      <c r="C5" s="2">
        <f>$C4/I$19*I$20</f>
        <v>0</v>
      </c>
      <c r="D5" s="2">
        <f>$D4/J$19*J$20</f>
        <v>0</v>
      </c>
      <c r="G5" s="2">
        <f>$G2/L$19*L$22</f>
        <v>0</v>
      </c>
      <c r="H5" s="2">
        <f>G5+B5</f>
        <v>4.5380434782608692</v>
      </c>
      <c r="I5">
        <f>0.1*I2</f>
        <v>0</v>
      </c>
      <c r="J5" t="s">
        <v>21</v>
      </c>
    </row>
    <row r="6" spans="1:13" x14ac:dyDescent="0.45">
      <c r="A6" t="s">
        <v>51</v>
      </c>
      <c r="B6" s="2">
        <f>$B$2/$D$19*D23</f>
        <v>122.71739130434783</v>
      </c>
      <c r="C6" s="2">
        <f>$C$2/I$19*I$23</f>
        <v>0</v>
      </c>
      <c r="D6" s="2">
        <f>D$2/J$19*J$23</f>
        <v>0</v>
      </c>
      <c r="E6" s="2">
        <f>E$2/M$19*M$23</f>
        <v>0</v>
      </c>
      <c r="F6" s="2">
        <f>F$2/N$19*N$23</f>
        <v>640</v>
      </c>
      <c r="G6" s="2">
        <f>G$2/L$19*L$23</f>
        <v>0</v>
      </c>
      <c r="H6" s="2">
        <f>G6+B6</f>
        <v>122.71739130434783</v>
      </c>
      <c r="K6" s="10">
        <f>$K$2/$O$19*O23</f>
        <v>0</v>
      </c>
    </row>
    <row r="7" spans="1:13" x14ac:dyDescent="0.45">
      <c r="A7" t="s">
        <v>52</v>
      </c>
      <c r="B7" s="2">
        <f>$B$2/$D$19*D24</f>
        <v>82.608695652173907</v>
      </c>
      <c r="C7" s="2">
        <f>$C$2/I$19*I$24</f>
        <v>0</v>
      </c>
      <c r="D7" s="2">
        <f>D$2/J$19*J$24</f>
        <v>0</v>
      </c>
      <c r="E7" s="2">
        <f>E$2/M$19*M$24</f>
        <v>0</v>
      </c>
      <c r="F7" s="2">
        <f>F$2/N$19*N$24</f>
        <v>352</v>
      </c>
      <c r="G7" s="2">
        <f>G$2/L$19*L$24</f>
        <v>0</v>
      </c>
      <c r="H7" s="2">
        <f>B7+G7-I7</f>
        <v>82.608695652173907</v>
      </c>
      <c r="I7" s="2">
        <f>15*I2/650</f>
        <v>0</v>
      </c>
      <c r="J7" t="s">
        <v>52</v>
      </c>
      <c r="K7" s="10">
        <f t="shared" ref="K7:K10" si="0">$K$2/$O$19*O24</f>
        <v>0</v>
      </c>
    </row>
    <row r="8" spans="1:13" x14ac:dyDescent="0.45">
      <c r="A8" t="s">
        <v>53</v>
      </c>
      <c r="B8" s="2">
        <f>$B$2/$D$19*D25</f>
        <v>28.532608695652172</v>
      </c>
      <c r="C8" s="3">
        <f>$C$2/I$19*I25</f>
        <v>0</v>
      </c>
      <c r="D8" s="3">
        <f>D$2/J$19*J25</f>
        <v>0</v>
      </c>
      <c r="E8" s="3">
        <f>E$2/M$19*M25</f>
        <v>0</v>
      </c>
      <c r="F8" s="2">
        <f>F$2/N$19*N25</f>
        <v>8</v>
      </c>
      <c r="G8" s="3">
        <f>G$2/L$19*L25</f>
        <v>0</v>
      </c>
      <c r="H8" s="2">
        <f>G8+B8</f>
        <v>28.532608695652172</v>
      </c>
      <c r="K8" s="15">
        <f t="shared" si="0"/>
        <v>0</v>
      </c>
    </row>
    <row r="9" spans="1:13" x14ac:dyDescent="0.45">
      <c r="A9" t="s">
        <v>54</v>
      </c>
      <c r="B9" s="3">
        <f>$B$2/$D$19*D26</f>
        <v>2.2826086956521738</v>
      </c>
      <c r="C9" s="3">
        <f>$C$2/I$19*I26</f>
        <v>0</v>
      </c>
      <c r="D9" s="3">
        <f>D$2/J$19*J26</f>
        <v>0</v>
      </c>
      <c r="E9" s="2">
        <f>E$2/M$19*M26</f>
        <v>0</v>
      </c>
      <c r="F9" s="2">
        <f>F$2/N$19*N26</f>
        <v>9.6</v>
      </c>
      <c r="G9" s="3">
        <f>G$2/L$19*L26</f>
        <v>0</v>
      </c>
      <c r="H9" s="2">
        <f>G9+B9</f>
        <v>2.2826086956521738</v>
      </c>
      <c r="K9" s="10">
        <f t="shared" si="0"/>
        <v>0</v>
      </c>
    </row>
    <row r="10" spans="1:13" x14ac:dyDescent="0.45">
      <c r="B10" s="2"/>
      <c r="C10" s="4" t="s">
        <v>21</v>
      </c>
      <c r="D10" s="2">
        <f>D$2/J$19*J27</f>
        <v>0</v>
      </c>
      <c r="E10" s="2"/>
      <c r="F10" s="2"/>
      <c r="G10" s="2">
        <f>G$2/L$19*L27</f>
        <v>0</v>
      </c>
      <c r="H10" t="s">
        <v>21</v>
      </c>
      <c r="I10" s="2"/>
      <c r="K10" s="10">
        <f>$K$2/$O$19*O28</f>
        <v>0</v>
      </c>
      <c r="L10" t="s">
        <v>158</v>
      </c>
    </row>
    <row r="11" spans="1:13" x14ac:dyDescent="0.45">
      <c r="A11" t="s">
        <v>55</v>
      </c>
      <c r="B11" s="5">
        <f>(B7)/(B5+B6)</f>
        <v>0.64915652359598541</v>
      </c>
      <c r="D11" s="4" t="s">
        <v>56</v>
      </c>
      <c r="E11" s="2">
        <f>E$2/M$19*M28</f>
        <v>0</v>
      </c>
      <c r="F11" s="2"/>
      <c r="I11">
        <f>(B7+B8/2+I7)/(B5+B6+B8/2)</f>
        <v>0.68452380952380953</v>
      </c>
      <c r="K11" s="10">
        <f>$K$2/$O$19*O30</f>
        <v>0</v>
      </c>
      <c r="L11" t="s">
        <v>58</v>
      </c>
    </row>
    <row r="12" spans="1:13" x14ac:dyDescent="0.45">
      <c r="D12" s="4" t="s">
        <v>57</v>
      </c>
      <c r="E12" s="2">
        <f>E$2/M$19*M29</f>
        <v>0</v>
      </c>
      <c r="F12" s="2"/>
      <c r="K12" s="10">
        <f>$K$2/$O$19*O31</f>
        <v>0</v>
      </c>
      <c r="L12" t="s">
        <v>159</v>
      </c>
    </row>
    <row r="13" spans="1:13" x14ac:dyDescent="0.45">
      <c r="D13" s="4" t="s">
        <v>58</v>
      </c>
      <c r="E13" s="2">
        <f>E$2/M$19*M30</f>
        <v>0</v>
      </c>
      <c r="F13" s="2">
        <f>F$2/N$19*N30</f>
        <v>20.533333333333001</v>
      </c>
    </row>
    <row r="14" spans="1:13" x14ac:dyDescent="0.45">
      <c r="D14" s="4" t="s">
        <v>59</v>
      </c>
      <c r="E14" s="2">
        <f>E$2/M$19*M31</f>
        <v>0</v>
      </c>
      <c r="F14" s="2"/>
    </row>
    <row r="15" spans="1:13" x14ac:dyDescent="0.45">
      <c r="A15" t="s">
        <v>60</v>
      </c>
      <c r="B15" s="2">
        <f t="shared" ref="B15:G15" si="1">SUM(B5:B14)</f>
        <v>241.32850434968299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1030.1333333333</v>
      </c>
      <c r="G15" s="2">
        <f t="shared" si="1"/>
        <v>0</v>
      </c>
      <c r="H15" s="6"/>
      <c r="I15" s="2">
        <f>SUM(I4:I7)</f>
        <v>0</v>
      </c>
      <c r="K15" s="10">
        <f>SUM(K5:K14)</f>
        <v>0</v>
      </c>
      <c r="M15" s="7" t="s">
        <v>61</v>
      </c>
    </row>
    <row r="16" spans="1:13" x14ac:dyDescent="0.45">
      <c r="A16" t="s">
        <v>62</v>
      </c>
      <c r="B16" s="2">
        <f>B6*0.5</f>
        <v>61.358695652173914</v>
      </c>
      <c r="H16" s="2">
        <f>H6*0.5</f>
        <v>61.358695652173914</v>
      </c>
    </row>
    <row r="17" spans="1:23" x14ac:dyDescent="0.4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45">
      <c r="A18" t="s">
        <v>63</v>
      </c>
      <c r="C18" t="s">
        <v>64</v>
      </c>
      <c r="D18" s="8" t="s">
        <v>65</v>
      </c>
      <c r="E18" t="s">
        <v>66</v>
      </c>
      <c r="G18" t="s">
        <v>67</v>
      </c>
      <c r="H18" t="s">
        <v>68</v>
      </c>
      <c r="I18" s="8" t="s">
        <v>69</v>
      </c>
      <c r="J18" s="8" t="s">
        <v>70</v>
      </c>
      <c r="K18" t="s">
        <v>71</v>
      </c>
      <c r="L18" s="8" t="s">
        <v>72</v>
      </c>
      <c r="M18" t="s">
        <v>73</v>
      </c>
      <c r="N18" t="s">
        <v>74</v>
      </c>
      <c r="O18" t="s">
        <v>47</v>
      </c>
    </row>
    <row r="19" spans="1:23" x14ac:dyDescent="0.45">
      <c r="A19" t="s">
        <v>75</v>
      </c>
      <c r="B19">
        <v>2090</v>
      </c>
      <c r="C19" s="2">
        <f>2090+238</f>
        <v>2328</v>
      </c>
      <c r="D19" s="8">
        <v>7360</v>
      </c>
      <c r="E19" s="2">
        <f>1000/0.64</f>
        <v>1562.5</v>
      </c>
      <c r="F19" s="2"/>
      <c r="G19" s="2">
        <f>1000/0.64</f>
        <v>1562.5</v>
      </c>
      <c r="H19" s="2">
        <f>1000/0.64</f>
        <v>1562.5</v>
      </c>
      <c r="I19" s="8">
        <v>1925</v>
      </c>
      <c r="J19" s="9">
        <v>2090</v>
      </c>
      <c r="K19" s="10">
        <v>1700</v>
      </c>
      <c r="L19" s="9">
        <f>2090+238+40</f>
        <v>2368</v>
      </c>
      <c r="M19" s="2">
        <v>1533</v>
      </c>
      <c r="N19">
        <f>15*250</f>
        <v>3750</v>
      </c>
      <c r="O19">
        <f>470*2</f>
        <v>940</v>
      </c>
    </row>
    <row r="20" spans="1:23" x14ac:dyDescent="0.45">
      <c r="A20" t="s">
        <v>49</v>
      </c>
      <c r="B20" s="2">
        <f>$B$19/$C$19*C20</f>
        <v>1194.0292096220001</v>
      </c>
      <c r="C20" s="2">
        <v>1330</v>
      </c>
      <c r="D20" s="11">
        <f>D22+D23</f>
        <v>4683</v>
      </c>
      <c r="E20" s="2">
        <f>E22+E23</f>
        <v>1000</v>
      </c>
      <c r="F20" s="2"/>
      <c r="G20" s="2">
        <f>G22+G23</f>
        <v>1000</v>
      </c>
      <c r="H20" s="2">
        <f>H22+H23</f>
        <v>1000</v>
      </c>
      <c r="I20" s="11">
        <f>I22+I23</f>
        <v>1335</v>
      </c>
      <c r="J20" s="9">
        <v>1260</v>
      </c>
      <c r="K20" s="10">
        <v>1260</v>
      </c>
      <c r="L20" s="9">
        <v>1330</v>
      </c>
      <c r="M20" s="2">
        <v>1000</v>
      </c>
      <c r="N20">
        <v>2400</v>
      </c>
      <c r="O20">
        <f>O23</f>
        <v>646</v>
      </c>
    </row>
    <row r="21" spans="1:23" x14ac:dyDescent="0.45">
      <c r="B21" s="2"/>
      <c r="C21" s="2"/>
      <c r="D21" s="11"/>
      <c r="E21" s="2"/>
      <c r="F21" s="2"/>
      <c r="G21" s="2"/>
      <c r="H21" s="2"/>
      <c r="I21" s="11"/>
      <c r="J21" s="12"/>
      <c r="K21" s="13"/>
      <c r="L21" s="12"/>
      <c r="M21" s="2"/>
      <c r="N21" s="2"/>
      <c r="W21" t="s">
        <v>76</v>
      </c>
    </row>
    <row r="22" spans="1:23" x14ac:dyDescent="0.45">
      <c r="A22" t="s">
        <v>50</v>
      </c>
      <c r="B22" s="2">
        <f t="shared" ref="B22:B27" si="2">$B$19/$C$19*C22</f>
        <v>42.195017182130997</v>
      </c>
      <c r="C22" s="2">
        <v>47</v>
      </c>
      <c r="D22" s="11">
        <v>167</v>
      </c>
      <c r="E22" s="2">
        <v>20</v>
      </c>
      <c r="F22" s="2"/>
      <c r="G22" s="2">
        <v>20</v>
      </c>
      <c r="H22" s="2">
        <v>20</v>
      </c>
      <c r="I22" s="11"/>
      <c r="J22" s="9"/>
      <c r="K22" s="10">
        <v>184</v>
      </c>
      <c r="L22" s="9">
        <v>47</v>
      </c>
      <c r="M22" s="2"/>
      <c r="N22" s="2"/>
      <c r="W22" t="s">
        <v>77</v>
      </c>
    </row>
    <row r="23" spans="1:23" x14ac:dyDescent="0.45">
      <c r="A23" t="s">
        <v>78</v>
      </c>
      <c r="B23" s="2">
        <f t="shared" si="2"/>
        <v>1150.9364261168</v>
      </c>
      <c r="C23" s="2">
        <v>1282</v>
      </c>
      <c r="D23" s="11">
        <v>4516</v>
      </c>
      <c r="E23" s="2">
        <v>980</v>
      </c>
      <c r="F23" s="2"/>
      <c r="G23" s="2">
        <v>980</v>
      </c>
      <c r="H23" s="2">
        <v>980</v>
      </c>
      <c r="I23" s="11">
        <v>1335</v>
      </c>
      <c r="J23" s="9">
        <v>1260</v>
      </c>
      <c r="K23" s="10">
        <v>1077</v>
      </c>
      <c r="L23" s="9">
        <v>1282</v>
      </c>
      <c r="M23" s="2">
        <v>1000</v>
      </c>
      <c r="N23">
        <v>2400</v>
      </c>
      <c r="O23">
        <v>646</v>
      </c>
    </row>
    <row r="24" spans="1:23" x14ac:dyDescent="0.45">
      <c r="A24" t="s">
        <v>52</v>
      </c>
      <c r="B24" s="2">
        <f t="shared" si="2"/>
        <v>861.85567010309001</v>
      </c>
      <c r="C24" s="2">
        <f>863+97</f>
        <v>960</v>
      </c>
      <c r="D24" s="11">
        <v>3040</v>
      </c>
      <c r="E24" s="2">
        <v>573</v>
      </c>
      <c r="F24" s="2"/>
      <c r="G24" s="2">
        <v>650</v>
      </c>
      <c r="H24" s="2">
        <v>610</v>
      </c>
      <c r="I24" s="11">
        <f>865*1.05</f>
        <v>908.25</v>
      </c>
      <c r="J24" s="9">
        <f>817*1+3*25</f>
        <v>892</v>
      </c>
      <c r="K24" s="10">
        <f>817*1</f>
        <v>817</v>
      </c>
      <c r="L24" s="9">
        <v>960</v>
      </c>
      <c r="M24" s="2">
        <v>520</v>
      </c>
      <c r="N24">
        <f>440*3</f>
        <v>1320</v>
      </c>
      <c r="O24">
        <v>157</v>
      </c>
    </row>
    <row r="25" spans="1:23" x14ac:dyDescent="0.45">
      <c r="A25" t="s">
        <v>79</v>
      </c>
      <c r="B25" s="3">
        <f t="shared" si="2"/>
        <v>267.53436426117003</v>
      </c>
      <c r="C25" s="2">
        <v>298</v>
      </c>
      <c r="D25" s="11">
        <v>1050</v>
      </c>
      <c r="E25" s="2">
        <v>260</v>
      </c>
      <c r="F25" s="2"/>
      <c r="G25" s="2">
        <v>260</v>
      </c>
      <c r="H25" s="2">
        <v>260</v>
      </c>
      <c r="I25" s="11">
        <v>11</v>
      </c>
      <c r="J25" s="14">
        <v>10</v>
      </c>
      <c r="K25" s="15">
        <v>10</v>
      </c>
      <c r="L25" s="14">
        <v>298</v>
      </c>
      <c r="M25" s="3">
        <v>12</v>
      </c>
      <c r="N25">
        <v>30</v>
      </c>
      <c r="O25" s="10">
        <v>7.7519999999999998</v>
      </c>
    </row>
    <row r="26" spans="1:23" x14ac:dyDescent="0.45">
      <c r="A26" t="s">
        <v>54</v>
      </c>
      <c r="B26" s="2">
        <f t="shared" si="2"/>
        <v>21.456615120275</v>
      </c>
      <c r="C26" s="2">
        <v>23.9</v>
      </c>
      <c r="D26" s="11">
        <v>84</v>
      </c>
      <c r="E26" s="2">
        <v>18.25</v>
      </c>
      <c r="F26" s="2"/>
      <c r="G26" s="2">
        <v>18.25</v>
      </c>
      <c r="H26" s="2">
        <v>18.25</v>
      </c>
      <c r="I26" s="9">
        <f>(I23+I22)/1000*14</f>
        <v>18.690000000000001</v>
      </c>
      <c r="J26" s="14">
        <f>(J23+J22)/1000*14</f>
        <v>17.64</v>
      </c>
      <c r="K26" s="15">
        <f>(K23+K22)/1000*14</f>
        <v>17.654</v>
      </c>
      <c r="L26" s="14">
        <v>23.9</v>
      </c>
      <c r="M26" s="2">
        <v>18</v>
      </c>
      <c r="N26">
        <v>36</v>
      </c>
      <c r="O26">
        <v>12</v>
      </c>
      <c r="S26" s="16"/>
      <c r="T26" s="16"/>
      <c r="U26" s="16"/>
    </row>
    <row r="27" spans="1:23" x14ac:dyDescent="0.45">
      <c r="A27" t="s">
        <v>21</v>
      </c>
      <c r="B27" s="2">
        <f t="shared" si="2"/>
        <v>213.66838487973001</v>
      </c>
      <c r="C27">
        <v>238</v>
      </c>
      <c r="D27" s="8"/>
      <c r="I27" s="8"/>
      <c r="J27" s="8">
        <v>238</v>
      </c>
      <c r="L27" s="8">
        <v>238</v>
      </c>
      <c r="S27" s="16"/>
      <c r="T27" s="16"/>
      <c r="U27" s="16"/>
    </row>
    <row r="28" spans="1:23" x14ac:dyDescent="0.45">
      <c r="A28" t="s">
        <v>56</v>
      </c>
      <c r="B28" s="2"/>
      <c r="D28" s="8"/>
      <c r="I28" s="8"/>
      <c r="J28" s="8"/>
      <c r="L28" s="8"/>
      <c r="M28">
        <v>50</v>
      </c>
      <c r="O28">
        <v>43</v>
      </c>
      <c r="S28" s="16"/>
      <c r="T28" s="16"/>
      <c r="U28" s="16"/>
    </row>
    <row r="29" spans="1:23" x14ac:dyDescent="0.45">
      <c r="A29" t="s">
        <v>57</v>
      </c>
      <c r="B29" s="2"/>
      <c r="D29" s="8"/>
      <c r="I29" s="8"/>
      <c r="J29" s="8"/>
      <c r="L29" s="8"/>
      <c r="M29">
        <v>40</v>
      </c>
      <c r="S29" s="16"/>
      <c r="T29" s="16"/>
      <c r="U29" s="16"/>
    </row>
    <row r="30" spans="1:23" x14ac:dyDescent="0.45">
      <c r="A30" t="s">
        <v>58</v>
      </c>
      <c r="B30" s="2"/>
      <c r="D30" s="8"/>
      <c r="I30" s="8"/>
      <c r="J30" s="8"/>
      <c r="L30" s="8"/>
      <c r="M30">
        <v>30</v>
      </c>
      <c r="N30">
        <v>77</v>
      </c>
      <c r="O30">
        <v>43</v>
      </c>
      <c r="S30" s="16"/>
      <c r="T30" s="16"/>
      <c r="U30" s="16"/>
    </row>
    <row r="31" spans="1:23" x14ac:dyDescent="0.45">
      <c r="A31" t="s">
        <v>80</v>
      </c>
      <c r="B31" s="2"/>
      <c r="D31" s="8"/>
      <c r="I31" s="8"/>
      <c r="J31" s="8"/>
      <c r="L31" s="8"/>
      <c r="M31">
        <v>50</v>
      </c>
      <c r="O31">
        <v>171</v>
      </c>
      <c r="S31" s="16"/>
      <c r="T31" s="16"/>
      <c r="U31" s="16"/>
    </row>
    <row r="32" spans="1:23" x14ac:dyDescent="0.45">
      <c r="A32" t="s">
        <v>81</v>
      </c>
      <c r="B32" s="2">
        <f>C32/$C$19*$B$19</f>
        <v>2557.6464776632001</v>
      </c>
      <c r="C32" s="2">
        <f>SUM(C22:C27)</f>
        <v>2848.9</v>
      </c>
      <c r="D32" s="11">
        <f>SUM(D22:D26)</f>
        <v>8857</v>
      </c>
      <c r="E32" s="2">
        <f>SUM(E22:E26)</f>
        <v>1851.25</v>
      </c>
      <c r="F32" s="2"/>
      <c r="G32" s="2">
        <f>SUM(G22:G26)</f>
        <v>1928.25</v>
      </c>
      <c r="H32" s="2">
        <f>SUM(H22:H26)</f>
        <v>1888.25</v>
      </c>
      <c r="I32" s="11">
        <f>SUM(I22:I26)</f>
        <v>2272.94</v>
      </c>
      <c r="J32" s="11">
        <f>SUM(J22:J27)</f>
        <v>2417.64</v>
      </c>
      <c r="K32" s="2">
        <f>SUM(K22:K26)</f>
        <v>2105.654</v>
      </c>
      <c r="L32" s="11">
        <f>SUM(L22:L27)</f>
        <v>2848.9</v>
      </c>
      <c r="M32" s="2">
        <f>SUM(M22:M31)</f>
        <v>1720</v>
      </c>
      <c r="N32" s="2"/>
      <c r="U32" t="s">
        <v>82</v>
      </c>
      <c r="V32" s="16" t="s">
        <v>83</v>
      </c>
    </row>
    <row r="33" spans="1:22" x14ac:dyDescent="0.45">
      <c r="A33" t="s">
        <v>84</v>
      </c>
      <c r="B33" s="5">
        <f>(0.5*B25+B24)/(B20+B25*0.5)</f>
        <v>0.74983096686951001</v>
      </c>
      <c r="C33" s="5">
        <f>(0.5*C25+C24)/(C20+C25*0.5)</f>
        <v>0.74983096686951001</v>
      </c>
      <c r="D33" s="6">
        <f>(0.5*D25+D24)/(D20+D25*0.5)</f>
        <v>0.68452380952380998</v>
      </c>
      <c r="E33" s="17">
        <f>(0.5*E25+E24)/(E20+E25*0.5)</f>
        <v>0.62212389380530997</v>
      </c>
      <c r="F33" s="17"/>
      <c r="G33" s="17">
        <f t="shared" ref="G33:L33" si="3">(0.5*G25+G24)/(G20+G25*0.5)</f>
        <v>0.69026548672566002</v>
      </c>
      <c r="H33" s="17">
        <f t="shared" si="3"/>
        <v>0.65486725663717005</v>
      </c>
      <c r="I33" s="18">
        <f t="shared" si="3"/>
        <v>0.68164863856769997</v>
      </c>
      <c r="J33" s="19">
        <f t="shared" si="3"/>
        <v>0.70909090909090999</v>
      </c>
      <c r="K33" s="5">
        <f t="shared" si="3"/>
        <v>0.6498023715415</v>
      </c>
      <c r="L33" s="6">
        <f t="shared" si="3"/>
        <v>0.74983096686951001</v>
      </c>
      <c r="M33" s="17"/>
      <c r="N33" s="17"/>
      <c r="T33">
        <v>39</v>
      </c>
      <c r="V33" s="16" t="s">
        <v>85</v>
      </c>
    </row>
    <row r="34" spans="1:22" x14ac:dyDescent="0.45">
      <c r="A34" t="s">
        <v>86</v>
      </c>
      <c r="B34" s="17">
        <f>(B25/2+B22)/B20</f>
        <v>0.14736842105263001</v>
      </c>
      <c r="C34" s="5">
        <f>(C25/2+C22)/C20</f>
        <v>0.14736842105263001</v>
      </c>
      <c r="D34" s="19">
        <f>(D25/2+D22)/D20</f>
        <v>0.14776852445013999</v>
      </c>
      <c r="E34" s="17">
        <f>(E25/2+E22)/E20</f>
        <v>0.15</v>
      </c>
      <c r="F34" s="17"/>
      <c r="G34" s="17">
        <f t="shared" ref="G34:L34" si="4">(G25/2+G22)/G20</f>
        <v>0.15</v>
      </c>
      <c r="H34" s="17">
        <f t="shared" si="4"/>
        <v>0.15</v>
      </c>
      <c r="I34" s="18">
        <f t="shared" si="4"/>
        <v>4.1198501872659003E-3</v>
      </c>
      <c r="J34" s="19">
        <f t="shared" si="4"/>
        <v>3.9682539682540001E-3</v>
      </c>
      <c r="K34" s="5">
        <f t="shared" si="4"/>
        <v>0.15</v>
      </c>
      <c r="L34" s="19">
        <f t="shared" si="4"/>
        <v>0.14736842105263001</v>
      </c>
      <c r="M34" s="5"/>
      <c r="N34" s="5"/>
      <c r="V34" s="16"/>
    </row>
    <row r="35" spans="1:22" x14ac:dyDescent="0.45">
      <c r="A35" t="s">
        <v>87</v>
      </c>
      <c r="B35" s="17">
        <f>B25/B20</f>
        <v>0.22406015037593999</v>
      </c>
      <c r="C35" s="17">
        <f>C25/C20</f>
        <v>0.22406015037593999</v>
      </c>
      <c r="D35" s="18">
        <f>D25/D20</f>
        <v>0.22421524663677</v>
      </c>
      <c r="E35" s="17">
        <f>E25/E20</f>
        <v>0.26</v>
      </c>
      <c r="F35" s="17"/>
      <c r="G35" s="17">
        <f t="shared" ref="G35:L35" si="5">G25/G20</f>
        <v>0.26</v>
      </c>
      <c r="H35" s="17">
        <f t="shared" si="5"/>
        <v>0.26</v>
      </c>
      <c r="I35" s="19">
        <f t="shared" si="5"/>
        <v>8.2397003745318005E-3</v>
      </c>
      <c r="J35" s="19">
        <f t="shared" si="5"/>
        <v>7.9365079365078996E-3</v>
      </c>
      <c r="K35" s="5">
        <f t="shared" si="5"/>
        <v>7.9365079365078996E-3</v>
      </c>
      <c r="L35" s="19">
        <f t="shared" si="5"/>
        <v>0.22406015037593999</v>
      </c>
      <c r="M35" s="17"/>
      <c r="N35" s="17"/>
      <c r="V35" s="16" t="s">
        <v>88</v>
      </c>
    </row>
    <row r="36" spans="1:22" x14ac:dyDescent="0.45">
      <c r="B36" s="2"/>
      <c r="D36" t="s">
        <v>89</v>
      </c>
      <c r="E36" t="s">
        <v>89</v>
      </c>
      <c r="F36" s="17"/>
      <c r="H36" t="s">
        <v>90</v>
      </c>
      <c r="P36" s="16" t="s">
        <v>91</v>
      </c>
      <c r="Q36" s="16" t="s">
        <v>92</v>
      </c>
      <c r="R36" s="16">
        <v>300</v>
      </c>
      <c r="S36">
        <v>995</v>
      </c>
      <c r="U36" t="s">
        <v>93</v>
      </c>
      <c r="V36" s="16" t="s">
        <v>94</v>
      </c>
    </row>
    <row r="37" spans="1:22" x14ac:dyDescent="0.45">
      <c r="B37" s="2">
        <f>B23/2</f>
        <v>575.46821305842002</v>
      </c>
      <c r="F37" s="17"/>
      <c r="O37" t="s">
        <v>95</v>
      </c>
      <c r="P37" s="16" t="s">
        <v>96</v>
      </c>
      <c r="Q37" s="16" t="s">
        <v>97</v>
      </c>
      <c r="R37" s="16">
        <v>300</v>
      </c>
      <c r="S37">
        <v>1020</v>
      </c>
      <c r="T37">
        <v>50</v>
      </c>
      <c r="V37" s="16" t="s">
        <v>98</v>
      </c>
    </row>
    <row r="38" spans="1:22" x14ac:dyDescent="0.45">
      <c r="B38" s="2"/>
      <c r="I38">
        <f>I26/I19*600</f>
        <v>5.8254545454544999</v>
      </c>
      <c r="P38" s="16" t="s">
        <v>96</v>
      </c>
      <c r="Q38" s="16" t="s">
        <v>99</v>
      </c>
      <c r="R38" s="16">
        <v>300</v>
      </c>
      <c r="S38" s="2">
        <f>1430/1.2</f>
        <v>1191.6666666666999</v>
      </c>
      <c r="T38">
        <v>50</v>
      </c>
      <c r="V38" s="16" t="s">
        <v>100</v>
      </c>
    </row>
    <row r="39" spans="1:22" x14ac:dyDescent="0.45">
      <c r="B39" s="2"/>
      <c r="P39" s="16"/>
      <c r="Q39" s="16" t="s">
        <v>99</v>
      </c>
      <c r="R39" s="16">
        <v>450</v>
      </c>
      <c r="S39" s="2">
        <f>2399/1.2</f>
        <v>1999.1666666666999</v>
      </c>
      <c r="U39" t="s">
        <v>101</v>
      </c>
      <c r="V39" s="16" t="s">
        <v>102</v>
      </c>
    </row>
    <row r="40" spans="1:22" x14ac:dyDescent="0.45">
      <c r="B40" s="2">
        <f>650*1.15</f>
        <v>747.5</v>
      </c>
      <c r="P40" s="16"/>
      <c r="Q40" s="16"/>
      <c r="R40" s="16"/>
      <c r="S40" s="2">
        <f>1247/1.2</f>
        <v>1039.1666666666999</v>
      </c>
      <c r="V40" s="16" t="s">
        <v>103</v>
      </c>
    </row>
    <row r="41" spans="1:22" x14ac:dyDescent="0.45">
      <c r="B41" s="2">
        <f>750*3</f>
        <v>2250</v>
      </c>
      <c r="H41">
        <f>75/650</f>
        <v>0.11538461538462</v>
      </c>
      <c r="I41">
        <f>3*650</f>
        <v>1950</v>
      </c>
      <c r="J41">
        <f>J42*I41/I42</f>
        <v>2096.4666666666999</v>
      </c>
      <c r="K41">
        <f>225/1800</f>
        <v>0.125</v>
      </c>
      <c r="P41" s="16"/>
      <c r="Q41" s="20" t="s">
        <v>104</v>
      </c>
      <c r="R41" s="16"/>
      <c r="S41" s="2">
        <f>1199/1.2</f>
        <v>999.16666666667004</v>
      </c>
      <c r="V41" s="16" t="s">
        <v>105</v>
      </c>
    </row>
    <row r="42" spans="1:22" x14ac:dyDescent="0.45">
      <c r="B42" s="2"/>
      <c r="I42">
        <f>750*3</f>
        <v>2250</v>
      </c>
      <c r="J42">
        <v>2419</v>
      </c>
      <c r="P42" s="16"/>
      <c r="Q42" s="20" t="s">
        <v>106</v>
      </c>
      <c r="R42" s="16"/>
      <c r="S42" s="2">
        <f>1259/1.2</f>
        <v>1049.1666666666999</v>
      </c>
      <c r="V42" s="16" t="s">
        <v>107</v>
      </c>
    </row>
    <row r="43" spans="1:22" x14ac:dyDescent="0.45">
      <c r="B43" s="2">
        <f>600/0.22</f>
        <v>2727.2727272727002</v>
      </c>
      <c r="C43">
        <f>B43/0.64</f>
        <v>4261.3636363635997</v>
      </c>
      <c r="P43" s="16"/>
      <c r="Q43" s="20" t="s">
        <v>106</v>
      </c>
      <c r="R43" s="16"/>
      <c r="S43" s="2">
        <v>1299</v>
      </c>
      <c r="V43" s="16" t="s">
        <v>108</v>
      </c>
    </row>
    <row r="44" spans="1:22" x14ac:dyDescent="0.45">
      <c r="B44" s="5"/>
      <c r="O44" s="21" t="s">
        <v>109</v>
      </c>
      <c r="P44" s="16" t="s">
        <v>110</v>
      </c>
      <c r="Q44" s="16"/>
      <c r="R44" s="16"/>
    </row>
    <row r="45" spans="1:22" x14ac:dyDescent="0.45">
      <c r="C45">
        <f>10/0.64</f>
        <v>15.625</v>
      </c>
      <c r="D45">
        <f>C45*6.3</f>
        <v>98.4375</v>
      </c>
      <c r="O45" t="s">
        <v>111</v>
      </c>
      <c r="P45" s="16" t="s">
        <v>112</v>
      </c>
      <c r="Q45" s="16"/>
      <c r="R45" s="16"/>
    </row>
    <row r="46" spans="1:22" x14ac:dyDescent="0.45">
      <c r="C46">
        <f>35/0.64</f>
        <v>54.6875</v>
      </c>
      <c r="D46">
        <f>C46*8.2</f>
        <v>448.4375</v>
      </c>
      <c r="F46" t="s">
        <v>113</v>
      </c>
      <c r="O46" t="s">
        <v>114</v>
      </c>
      <c r="P46" t="s">
        <v>115</v>
      </c>
      <c r="S46">
        <v>657</v>
      </c>
      <c r="V46" s="16" t="s">
        <v>116</v>
      </c>
    </row>
    <row r="47" spans="1:22" x14ac:dyDescent="0.45">
      <c r="F47" t="s">
        <v>117</v>
      </c>
      <c r="O47" t="s">
        <v>118</v>
      </c>
    </row>
    <row r="48" spans="1:22" x14ac:dyDescent="0.45">
      <c r="A48" t="s">
        <v>119</v>
      </c>
      <c r="F48" t="s">
        <v>120</v>
      </c>
      <c r="P48" t="s">
        <v>121</v>
      </c>
      <c r="Q48" t="s">
        <v>122</v>
      </c>
      <c r="S48">
        <f>1500/1.2</f>
        <v>1250</v>
      </c>
      <c r="V48" s="16" t="s">
        <v>123</v>
      </c>
    </row>
    <row r="49" spans="2:22" ht="15.4" customHeight="1" x14ac:dyDescent="0.45">
      <c r="B49" t="s">
        <v>51</v>
      </c>
      <c r="C49">
        <v>1000</v>
      </c>
      <c r="D49" s="2">
        <f t="shared" ref="D49:D56" si="6">C49*1.33</f>
        <v>1330</v>
      </c>
      <c r="G49" s="22" t="s">
        <v>124</v>
      </c>
      <c r="P49" t="s">
        <v>125</v>
      </c>
      <c r="Q49" t="s">
        <v>126</v>
      </c>
      <c r="S49" s="2">
        <f>1600/1.2</f>
        <v>1333.3333333333001</v>
      </c>
      <c r="V49" s="16" t="s">
        <v>127</v>
      </c>
    </row>
    <row r="50" spans="2:22" ht="15.4" customHeight="1" x14ac:dyDescent="0.45">
      <c r="B50" t="s">
        <v>52</v>
      </c>
      <c r="C50">
        <v>520</v>
      </c>
      <c r="D50" s="2">
        <f t="shared" si="6"/>
        <v>691.6</v>
      </c>
      <c r="G50" s="22"/>
      <c r="P50" t="s">
        <v>125</v>
      </c>
      <c r="Q50" t="s">
        <v>128</v>
      </c>
      <c r="S50" s="2">
        <v>1770</v>
      </c>
      <c r="V50" s="16" t="s">
        <v>129</v>
      </c>
    </row>
    <row r="51" spans="2:22" ht="15.4" customHeight="1" x14ac:dyDescent="0.45">
      <c r="B51" t="s">
        <v>130</v>
      </c>
      <c r="C51">
        <v>50</v>
      </c>
      <c r="D51" s="2">
        <f t="shared" si="6"/>
        <v>66.5</v>
      </c>
      <c r="G51" s="22"/>
      <c r="S51" s="2">
        <v>1755</v>
      </c>
      <c r="V51" s="16" t="s">
        <v>131</v>
      </c>
    </row>
    <row r="52" spans="2:22" ht="15.4" customHeight="1" x14ac:dyDescent="0.45">
      <c r="B52" t="s">
        <v>132</v>
      </c>
      <c r="C52">
        <v>30</v>
      </c>
      <c r="D52" s="2">
        <f t="shared" si="6"/>
        <v>39.9</v>
      </c>
      <c r="G52" s="22"/>
      <c r="P52" t="s">
        <v>133</v>
      </c>
      <c r="Q52" t="s">
        <v>134</v>
      </c>
      <c r="S52" s="2">
        <v>915</v>
      </c>
      <c r="V52" s="16" t="s">
        <v>135</v>
      </c>
    </row>
    <row r="53" spans="2:22" ht="15.4" customHeight="1" x14ac:dyDescent="0.45">
      <c r="B53" t="s">
        <v>57</v>
      </c>
      <c r="C53">
        <v>40</v>
      </c>
      <c r="D53" s="2">
        <f t="shared" si="6"/>
        <v>53.2</v>
      </c>
      <c r="G53" s="22"/>
      <c r="O53" t="s">
        <v>136</v>
      </c>
      <c r="S53">
        <v>6000</v>
      </c>
    </row>
    <row r="54" spans="2:22" ht="15.4" customHeight="1" x14ac:dyDescent="0.45">
      <c r="B54" s="2" t="s">
        <v>56</v>
      </c>
      <c r="C54" s="2">
        <v>50</v>
      </c>
      <c r="D54" s="2">
        <f t="shared" si="6"/>
        <v>66.5</v>
      </c>
      <c r="G54" s="22"/>
      <c r="O54" t="s">
        <v>137</v>
      </c>
      <c r="S54">
        <v>1000</v>
      </c>
      <c r="V54" s="16" t="s">
        <v>138</v>
      </c>
    </row>
    <row r="55" spans="2:22" ht="15.4" customHeight="1" x14ac:dyDescent="0.45">
      <c r="B55" s="2" t="s">
        <v>139</v>
      </c>
      <c r="C55" s="2">
        <v>30</v>
      </c>
      <c r="D55" s="2">
        <f t="shared" si="6"/>
        <v>39.9</v>
      </c>
      <c r="G55" s="22"/>
      <c r="O55" t="s">
        <v>140</v>
      </c>
      <c r="S55">
        <v>660</v>
      </c>
      <c r="V55" s="16" t="s">
        <v>141</v>
      </c>
    </row>
    <row r="56" spans="2:22" ht="15.4" customHeight="1" x14ac:dyDescent="0.45">
      <c r="B56" s="2" t="s">
        <v>54</v>
      </c>
      <c r="C56" s="2">
        <v>18</v>
      </c>
      <c r="D56" s="2">
        <f t="shared" si="6"/>
        <v>23.94</v>
      </c>
      <c r="G56" s="22"/>
      <c r="S56">
        <v>657</v>
      </c>
      <c r="V56" s="16" t="s">
        <v>142</v>
      </c>
    </row>
    <row r="57" spans="2:22" ht="15.4" customHeight="1" x14ac:dyDescent="0.45">
      <c r="B57" s="2"/>
      <c r="C57" s="2"/>
      <c r="D57" s="2">
        <f>SUM(D49:D56)</f>
        <v>2311.54</v>
      </c>
      <c r="G57" s="22"/>
      <c r="O57" t="s">
        <v>143</v>
      </c>
      <c r="S57">
        <f>798/1.2</f>
        <v>665</v>
      </c>
      <c r="V57" s="16" t="s">
        <v>144</v>
      </c>
    </row>
    <row r="58" spans="2:22" ht="15.4" customHeight="1" x14ac:dyDescent="0.45">
      <c r="G58" s="22"/>
      <c r="O58" t="s">
        <v>145</v>
      </c>
      <c r="S58">
        <f>2*657</f>
        <v>1314</v>
      </c>
      <c r="V58" s="16" t="s">
        <v>116</v>
      </c>
    </row>
    <row r="59" spans="2:22" ht="15.4" customHeight="1" x14ac:dyDescent="0.45">
      <c r="G59" s="22"/>
      <c r="O59" t="s">
        <v>146</v>
      </c>
      <c r="S59">
        <v>20</v>
      </c>
      <c r="V59" s="16" t="s">
        <v>147</v>
      </c>
    </row>
    <row r="60" spans="2:22" ht="15.4" customHeight="1" x14ac:dyDescent="0.45">
      <c r="G60" s="22"/>
      <c r="O60" t="s">
        <v>148</v>
      </c>
      <c r="S60">
        <v>38</v>
      </c>
      <c r="V60" s="16" t="s">
        <v>149</v>
      </c>
    </row>
    <row r="61" spans="2:22" x14ac:dyDescent="0.45">
      <c r="O61" t="s">
        <v>150</v>
      </c>
      <c r="P61" t="s">
        <v>151</v>
      </c>
      <c r="Q61" t="s">
        <v>152</v>
      </c>
      <c r="S61">
        <f>426/1.2</f>
        <v>355</v>
      </c>
      <c r="V61" s="16" t="s">
        <v>153</v>
      </c>
    </row>
    <row r="62" spans="2:22" x14ac:dyDescent="0.45">
      <c r="O62" t="s">
        <v>154</v>
      </c>
      <c r="S62" s="2">
        <f>55/1.2</f>
        <v>45.833333333333002</v>
      </c>
      <c r="V62" s="16" t="s">
        <v>155</v>
      </c>
    </row>
    <row r="65" spans="3:4" x14ac:dyDescent="0.45">
      <c r="C65" s="2"/>
      <c r="D65" s="2"/>
    </row>
    <row r="66" spans="3:4" x14ac:dyDescent="0.45">
      <c r="C66" s="5"/>
      <c r="D66" s="5"/>
    </row>
    <row r="67" spans="3:4" x14ac:dyDescent="0.45">
      <c r="C67" s="17"/>
      <c r="D67" s="17"/>
    </row>
  </sheetData>
  <sheetProtection formatCells="0" formatColumns="0" formatRows="0" insertColumns="0" insertRows="0" insertHyperlinks="0" deleteColumns="0" deleteRows="0" sort="0" autoFilter="0" pivotTables="0"/>
  <hyperlinks>
    <hyperlink ref="V32" r:id="rId1"/>
    <hyperlink ref="V33" r:id="rId2"/>
    <hyperlink ref="V35" r:id="rId3"/>
    <hyperlink ref="V36" r:id="rId4"/>
    <hyperlink ref="V37" r:id="rId5"/>
    <hyperlink ref="V38" r:id="rId6"/>
    <hyperlink ref="V39" r:id="rId7"/>
    <hyperlink ref="V40" r:id="rId8"/>
    <hyperlink ref="V41" r:id="rId9"/>
    <hyperlink ref="V42" r:id="rId10"/>
    <hyperlink ref="V43" r:id="rId11"/>
    <hyperlink ref="P44" r:id="rId12"/>
    <hyperlink ref="P45" r:id="rId13"/>
    <hyperlink ref="V46" r:id="rId14"/>
    <hyperlink ref="V48" r:id="rId15"/>
    <hyperlink ref="V49" r:id="rId16"/>
    <hyperlink ref="V50" r:id="rId17"/>
    <hyperlink ref="V51" r:id="rId18"/>
    <hyperlink ref="V52" r:id="rId19"/>
    <hyperlink ref="V54" r:id="rId20"/>
    <hyperlink ref="V55" r:id="rId21"/>
    <hyperlink ref="V56" r:id="rId22"/>
    <hyperlink ref="V57" r:id="rId23"/>
    <hyperlink ref="V58" r:id="rId24"/>
    <hyperlink ref="V59" r:id="rId25"/>
    <hyperlink ref="V60" r:id="rId26"/>
    <hyperlink ref="V61" r:id="rId27"/>
    <hyperlink ref="V62" r:id="rId28"/>
  </hyperlinks>
  <pageMargins left="0.78749999999999998" right="0.78749999999999998" top="1.0527777777778" bottom="1.0527777777778" header="0.78749999999999998" footer="0.78749999999999998"/>
  <pageSetup paperSize="9" orientation="portrait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cp_cmd</vt:lpstr>
      <vt:lpstr>cp_recap</vt:lpstr>
      <vt:lpstr>Recettes</vt:lpstr>
      <vt:lpstr>cp_cmd!Zone_d_impression</vt:lpstr>
      <vt:lpstr>cp_recap!Zone_d_impression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marco</cp:lastModifiedBy>
  <cp:lastPrinted>2020-11-30T19:37:29Z</cp:lastPrinted>
  <dcterms:created xsi:type="dcterms:W3CDTF">2020-06-08T16:04:45Z</dcterms:created>
  <dcterms:modified xsi:type="dcterms:W3CDTF">2020-12-02T10:07:08Z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Microsoft Corporation</vt:lpwstr>
  </property>
  <property fmtid="{D5CDD505-2E9C-101B-9397-08002B2CF9AE}" pid="3" name="category">
    <vt:lpwstr/>
  </property>
</Properties>
</file>