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5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  <sheet name="Financier" sheetId="5" state="visible" r:id="rId7"/>
    <sheet name="version" sheetId="6" state="visible" r:id="rId8"/>
    <sheet name="Axes correctifs" sheetId="7" state="visible" r:id="rId9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cp_cmd!$O$3:$W$46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cp_cmd!$E$2:$S$32</definedName>
    <definedName function="false" hidden="false" localSheetId="0" name="_xlnm_Print_Area_0" vbProcedure="false">cp_cmd!$E$2:$T$32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O24" authorId="0">
      <text>
        <r>
          <rPr>
            <sz val="10"/>
            <rFont val="Arial"/>
            <family val="2"/>
          </rPr>
          <t xml:space="preserve">200</t>
        </r>
      </text>
    </comment>
    <comment ref="O31" authorId="0">
      <text>
        <r>
          <rPr>
            <sz val="10"/>
            <rFont val="Arial"/>
            <family val="2"/>
          </rPr>
          <t xml:space="preserve">220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Auteur inconnu</author>
  </authors>
  <commentList>
    <comment ref="I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I13" authorId="0">
      <text>
        <r>
          <rPr>
            <sz val="10"/>
            <rFont val="Arial"/>
            <family val="2"/>
          </rPr>
          <t xml:space="preserve">Sur une base de 200€/jour</t>
        </r>
      </text>
    </comment>
    <comment ref="L12" authorId="0">
      <text>
        <r>
          <rPr>
            <sz val="10"/>
            <rFont val="Arial"/>
            <family val="2"/>
          </rPr>
          <t xml:space="preserve">1/2 heures pour 3Kwh à 25 cente/kwh</t>
        </r>
      </text>
    </comment>
    <comment ref="L13" authorId="0">
      <text>
        <r>
          <rPr>
            <sz val="10"/>
            <rFont val="Arial"/>
            <family val="2"/>
          </rPr>
          <t xml:space="preserve">Sur une base de 200€/jour</t>
        </r>
      </text>
    </comment>
  </commentList>
</comments>
</file>

<file path=xl/sharedStrings.xml><?xml version="1.0" encoding="utf-8"?>
<sst xmlns="http://schemas.openxmlformats.org/spreadsheetml/2006/main" count="385" uniqueCount="278">
  <si>
    <t xml:space="preserve">PdM-Vegan</t>
  </si>
  <si>
    <t xml:space="preserve">Tournesol</t>
  </si>
  <si>
    <t xml:space="preserve">Meteil</t>
  </si>
  <si>
    <t xml:space="preserve">Poids pain</t>
  </si>
  <si>
    <t xml:space="preserve">Seigle</t>
  </si>
  <si>
    <t xml:space="preserve">Blé</t>
  </si>
  <si>
    <t xml:space="preserve">Eau</t>
  </si>
  <si>
    <t xml:space="preserve">Levain</t>
  </si>
  <si>
    <t xml:space="preserve">Lev+Suc 30°</t>
  </si>
  <si>
    <t xml:space="preserve">Sel</t>
  </si>
  <si>
    <t xml:space="preserve">Pain2Mie1,5KG</t>
  </si>
  <si>
    <t xml:space="preserve">Seigle .75%</t>
  </si>
  <si>
    <t xml:space="preserve">Seigle .75 %</t>
  </si>
  <si>
    <t xml:space="preserve">TH 56 %</t>
  </si>
  <si>
    <t xml:space="preserve">TH 60 %</t>
  </si>
  <si>
    <t xml:space="preserve">Pizza Meteil</t>
  </si>
  <si>
    <t xml:space="preserve">Poids total</t>
  </si>
  <si>
    <t xml:space="preserve">Pizza Nature</t>
  </si>
  <si>
    <t xml:space="preserve">Total Levain</t>
  </si>
  <si>
    <t xml:space="preserve">Four (245°)</t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</si>
  <si>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50</t>
    </r>
  </si>
  <si>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</si>
  <si>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r>
      <rPr>
        <sz val="18"/>
        <color rgb="FF000000"/>
        <rFont val="Calibri"/>
        <family val="0"/>
        <charset val="1"/>
      </rPr>
      <t xml:space="preserve">Préchauffe 2</t>
    </r>
    <r>
      <rPr>
        <b val="true"/>
        <sz val="18"/>
        <color rgb="FF000000"/>
        <rFont val="Calibri"/>
        <family val="0"/>
        <charset val="1"/>
      </rPr>
      <t xml:space="preserve">5</t>
    </r>
    <r>
      <rPr>
        <sz val="18"/>
        <color rgb="FF000000"/>
        <rFont val="Calibri"/>
        <family val="0"/>
        <charset val="1"/>
      </rPr>
      <t xml:space="preserve">0/275 avant cuisson T°Four 275</t>
    </r>
  </si>
  <si>
    <t xml:space="preserve">@20m (265°)</t>
  </si>
  <si>
    <r>
      <rPr>
        <sz val="18"/>
        <color rgb="FF000000"/>
        <rFont val="Calibri"/>
        <family val="0"/>
        <charset val="1"/>
      </rPr>
      <t xml:space="preserve">2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0/2</t>
    </r>
    <r>
      <rPr>
        <b val="true"/>
        <sz val="18"/>
        <color rgb="FF000000"/>
        <rFont val="Calibri"/>
        <family val="0"/>
        <charset val="1"/>
      </rPr>
      <t xml:space="preserve">5</t>
    </r>
    <r>
      <rPr>
        <sz val="18"/>
        <color rgb="FF000000"/>
        <rFont val="Calibri"/>
        <family val="0"/>
        <charset val="1"/>
      </rPr>
      <t xml:space="preserve">0</t>
    </r>
  </si>
  <si>
    <r>
      <rPr>
        <sz val="18"/>
        <color rgb="FF000000"/>
        <rFont val="Calibri"/>
        <family val="0"/>
        <charset val="1"/>
      </rPr>
      <t xml:space="preserve">20</t>
    </r>
    <r>
      <rPr>
        <b val="true"/>
        <sz val="18"/>
        <color rgb="FF000000"/>
        <rFont val="Calibri"/>
        <family val="0"/>
        <charset val="1"/>
      </rPr>
      <t xml:space="preserve">0</t>
    </r>
    <r>
      <rPr>
        <sz val="18"/>
        <color rgb="FF000000"/>
        <rFont val="Calibri"/>
        <family val="0"/>
        <charset val="1"/>
      </rPr>
      <t xml:space="preserve">/25</t>
    </r>
    <r>
      <rPr>
        <b val="true"/>
        <sz val="18"/>
        <color rgb="FF000000"/>
        <rFont val="Calibri"/>
        <family val="0"/>
        <charset val="1"/>
      </rPr>
      <t xml:space="preserve">0</t>
    </r>
  </si>
  <si>
    <r>
      <rPr>
        <b val="true"/>
        <sz val="18"/>
        <color rgb="FF000000"/>
        <rFont val="Calibri"/>
        <family val="0"/>
        <charset val="1"/>
      </rPr>
      <t xml:space="preserve">175</t>
    </r>
    <r>
      <rPr>
        <sz val="18"/>
        <color rgb="FF000000"/>
        <rFont val="Calibri"/>
        <family val="0"/>
        <charset val="1"/>
      </rPr>
      <t xml:space="preserve">/</t>
    </r>
    <r>
      <rPr>
        <b val="true"/>
        <sz val="18"/>
        <color rgb="FF000000"/>
        <rFont val="Calibri"/>
        <family val="0"/>
        <charset val="1"/>
      </rPr>
      <t xml:space="preserve">2</t>
    </r>
    <r>
      <rPr>
        <sz val="18"/>
        <color rgb="FF000000"/>
        <rFont val="Calibri"/>
        <family val="0"/>
        <charset val="1"/>
      </rPr>
      <t xml:space="preserve">00</t>
    </r>
  </si>
  <si>
    <t xml:space="preserve">Récipient MILIEU four</t>
  </si>
  <si>
    <t xml:space="preserve">PH</t>
  </si>
  <si>
    <t xml:space="preserve"> @Faconnage&lt;4,9</t>
  </si>
  <si>
    <t xml:space="preserve">4,1&lt;@Enfournnement&lt;4,3</t>
  </si>
  <si>
    <t xml:space="preserve">-0,2/Heure</t>
  </si>
  <si>
    <t xml:space="preserve">TB</t>
  </si>
  <si>
    <t xml:space="preserve">Debut Pointage</t>
  </si>
  <si>
    <t xml:space="preserve">Fin Faconnage</t>
  </si>
  <si>
    <t xml:space="preserve">Production du 03/09/24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</si>
  <si>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</si>
  <si>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</si>
  <si>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</si>
  <si>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</si>
  <si>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</si>
  <si>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Méteil Nature 15% Seigle</t>
  </si>
  <si>
    <t xml:space="preserve">batard</t>
  </si>
  <si>
    <t xml:space="preserve">600g</t>
  </si>
  <si>
    <t xml:space="preserve">1000g</t>
  </si>
  <si>
    <t xml:space="preserve">1500g</t>
  </si>
  <si>
    <t xml:space="preserve">moule</t>
  </si>
  <si>
    <t xml:space="preserve">800g</t>
  </si>
  <si>
    <t xml:space="preserve">Tournesol Toasté</t>
  </si>
  <si>
    <t xml:space="preserve">520g</t>
  </si>
  <si>
    <t xml:space="preserve">Pain de mie végé</t>
  </si>
  <si>
    <t xml:space="preserve">500g</t>
  </si>
  <si>
    <t xml:space="preserve">1400g</t>
  </si>
  <si>
    <t xml:space="preserve">Moulé Petit Epeautre</t>
  </si>
  <si>
    <t xml:space="preserve">300g</t>
  </si>
  <si>
    <t xml:space="preserve">Semi complet Nature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</si>
  <si>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</si>
  <si>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</si>
  <si>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</si>
  <si>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</si>
  <si>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</si>
  <si>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</si>
  <si>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</si>
  <si>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</si>
  <si>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</si>
  <si>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Seigle</t>
  </si>
  <si>
    <t xml:space="preserve">Paton</t>
  </si>
  <si>
    <t xml:space="preserve">Farine de blé</t>
  </si>
  <si>
    <t xml:space="preserve">Graine</t>
  </si>
  <si>
    <t xml:space="preserve">Lev1/LevUre</t>
  </si>
  <si>
    <t xml:space="preserve">Miel</t>
  </si>
  <si>
    <t xml:space="preserve">TH</t>
  </si>
  <si>
    <t xml:space="preserve">Sucre</t>
  </si>
  <si>
    <t xml:space="preserve">Huile</t>
  </si>
  <si>
    <t xml:space="preserve">Beurre</t>
  </si>
  <si>
    <t xml:space="preserve">Lait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</si>
  <si>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</si>
  <si>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</si>
  <si>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</si>
  <si>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</si>
  <si>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</si>
  <si>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</si>
  <si>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</si>
  <si>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</si>
  <si>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</si>
  <si>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</si>
  <si>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</si>
  <si>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</si>
  <si>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</si>
  <si>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</si>
  <si>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</si>
  <si>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</si>
  <si>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</si>
  <si>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Crepes PE</t>
  </si>
  <si>
    <t xml:space="preserve">Galette sarrasin</t>
  </si>
  <si>
    <t xml:space="preserve">Pain cuit</t>
  </si>
  <si>
    <t xml:space="preserve">Farine</t>
  </si>
  <si>
    <t xml:space="preserve">Total Farine</t>
  </si>
  <si>
    <t xml:space="preserve">Lait Veg</t>
  </si>
  <si>
    <t xml:space="preserve">Sarrazin</t>
  </si>
  <si>
    <t xml:space="preserve">Oeufs 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</si>
  <si>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</si>
  <si>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</si>
  <si>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</si>
  <si>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</si>
  <si>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</si>
  <si>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</si>
  <si>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</si>
  <si>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</si>
  <si>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</si>
  <si>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</si>
  <si>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</si>
  <si>
    <t xml:space="preserve">Pain de mie Végé</t>
  </si>
  <si>
    <t xml:space="preserve">Galette Sarrazin</t>
  </si>
  <si>
    <t xml:space="preserve">Semi complet</t>
  </si>
  <si>
    <t xml:space="preserve">Cout energie / Kg</t>
  </si>
  <si>
    <t xml:space="preserve">Cout farine</t>
  </si>
  <si>
    <t xml:space="preserve">66g</t>
  </si>
  <si>
    <t xml:space="preserve">Pizza Bleu Forestiere</t>
  </si>
  <si>
    <t xml:space="preserve">Pizza Reine</t>
  </si>
  <si>
    <t xml:space="preserve">Pizza 3 fromages</t>
  </si>
  <si>
    <t xml:space="preserve">Margarita</t>
  </si>
  <si>
    <t xml:space="preserve">Nb pizza </t>
  </si>
  <si>
    <t xml:space="preserve">30 crepes à l’heure</t>
  </si>
  <si>
    <t xml:space="preserve">30 galettes à l’heure</t>
  </si>
  <si>
    <t xml:space="preserve">Poids pate</t>
  </si>
  <si>
    <t xml:space="preserve">sel</t>
  </si>
  <si>
    <t xml:space="preserve">Energie</t>
  </si>
  <si>
    <t xml:space="preserve">Cout Kg</t>
  </si>
  <si>
    <t xml:space="preserve">PV Kg</t>
  </si>
  <si>
    <t xml:space="preserve">Marge Kg</t>
  </si>
  <si>
    <t xml:space="preserve">Marge %</t>
  </si>
  <si>
    <t xml:space="preserve">18 crepes pour 500g de farine</t>
  </si>
  <si>
    <t xml:space="preserve">10 crepres pour 500g farine</t>
  </si>
  <si>
    <t xml:space="preserve">Pâte : 200-250g</t>
  </si>
  <si>
    <t xml:space="preserve">Crème fraîche : 80-100g</t>
  </si>
  <si>
    <t xml:space="preserve">Levure</t>
  </si>
  <si>
    <t xml:space="preserve">Champignons : 100g</t>
  </si>
  <si>
    <t xml:space="preserve">Oignons : 30-50g</t>
  </si>
  <si>
    <t xml:space="preserve">Bleu : 40-50g</t>
  </si>
  <si>
    <t xml:space="preserve">Fromage râpé : 70-80g</t>
  </si>
  <si>
    <t xml:space="preserve">Jambon : 80g</t>
  </si>
  <si>
    <t xml:space="preserve">Sauce tomate : 80-100g</t>
  </si>
  <si>
    <t xml:space="preserve">Electricité</t>
  </si>
  <si>
    <t xml:space="preserve">Emmental (reine) : 100g</t>
  </si>
  <si>
    <t xml:space="preserve">Temps en euros</t>
  </si>
  <si>
    <t xml:space="preserve">Emmental (3 fr) : 70g</t>
  </si>
  <si>
    <t xml:space="preserve">Cout Total</t>
  </si>
  <si>
    <t xml:space="preserve">Total Euros</t>
  </si>
  <si>
    <t xml:space="preserve">Chevre : 50g</t>
  </si>
  <si>
    <t xml:space="preserve">Cout / Kg</t>
  </si>
  <si>
    <t xml:space="preserve">Total crepes</t>
  </si>
  <si>
    <t xml:space="preserve">Cout 1 CREPES</t>
  </si>
  <si>
    <t xml:space="preserve">Pain :</t>
  </si>
  <si>
    <t xml:space="preserve">Cout MP</t>
  </si>
  <si>
    <t xml:space="preserve">Marge</t>
  </si>
  <si>
    <t xml:space="preserve">Taux horaire final</t>
  </si>
  <si>
    <t xml:space="preserve">Perparation paton/fourniture</t>
  </si>
  <si>
    <t xml:space="preserve">fournée (ditrib,lavage,fab)</t>
  </si>
  <si>
    <t xml:space="preserve">Temps Réalisation</t>
  </si>
  <si>
    <t xml:space="preserve">Total</t>
  </si>
  <si>
    <t xml:space="preserve">Taux horaire</t>
  </si>
  <si>
    <t xml:space="preserve">PV</t>
  </si>
  <si>
    <t xml:space="preserve">Marge moyenne de 5</t>
  </si>
  <si>
    <t xml:space="preserve">1,5Kg</t>
  </si>
  <si>
    <t xml:space="preserve">Marge fournée pour 50kg</t>
  </si>
  <si>
    <t xml:space="preserve">Cout total</t>
  </si>
  <si>
    <t xml:space="preserve">Marge Brut</t>
  </si>
  <si>
    <t xml:space="preserve">Marge KG</t>
  </si>
  <si>
    <t xml:space="preserve">Marge Brut %</t>
  </si>
  <si>
    <t xml:space="preserve">Marge quasi net</t>
  </si>
  <si>
    <t xml:space="preserve">Cout achat MP pizza/crepes HT</t>
  </si>
  <si>
    <t xml:space="preserve">Sucre betterave (sobio)</t>
  </si>
  <si>
    <t xml:space="preserve">Ognion (matet)</t>
  </si>
  <si>
    <t xml:space="preserve">Gruyere (sobio)</t>
  </si>
  <si>
    <t xml:space="preserve">Jambon (sobio)</t>
  </si>
  <si>
    <t xml:space="preserve">Coulis tomate ????</t>
  </si>
  <si>
    <t xml:space="preserve">Bleu</t>
  </si>
  <si>
    <t xml:space="preserve">Chèvre</t>
  </si>
  <si>
    <t xml:space="preserve">Creme</t>
  </si>
  <si>
    <t xml:space="preserve">Champignon</t>
  </si>
  <si>
    <t xml:space="preserve">Prix vente GMS</t>
  </si>
  <si>
    <t xml:space="preserve">galette (biocoop)</t>
  </si>
  <si>
    <t xml:space="preserve">galette (sobio)</t>
  </si>
  <si>
    <t xml:space="preserve">0,8€ piece / 70g</t>
  </si>
  <si>
    <t xml:space="preserve">crepes suzette (sobio)</t>
  </si>
  <si>
    <t xml:space="preserve">Eau *2 pour les tournesols</t>
  </si>
  <si>
    <t xml:space="preserve">0,75g de levure au kilo de farine pour le pdm</t>
  </si>
  <si>
    <t xml:space="preserve">Modification recette pdm passage au sucre et soja joanna, levure saf (non instant)</t>
  </si>
  <si>
    <t xml:space="preserve">Sucre 20 % de plus que miel, Eau 20 % en plus poids de miel</t>
  </si>
  <si>
    <t xml:space="preserve">4g de levure au kilo de farine pour le pdm</t>
  </si>
  <si>
    <t xml:space="preserve">correction paton tournesol, 80g en mois pour 3752 de paton</t>
  </si>
  <si>
    <t xml:space="preserve">correction poids pdm, ajout de 40 % du poids d’huile en sucre+haut, du coup augmentatoin de 2 % du poids de pain cuit</t>
  </si>
  <si>
    <t xml:space="preserve">Precision PH à respecter</t>
  </si>
  <si>
    <t xml:space="preserve">Ajustement poids recette Nature et PDM</t>
  </si>
  <si>
    <t xml:space="preserve">Ajustement poids paton 500g et 1Kg Pdm</t>
  </si>
  <si>
    <t xml:space="preserve">recette PDM : ajout 5 % de farine et modification en proportion du poids total</t>
  </si>
  <si>
    <t xml:space="preserve">TH plus faible pain de mie</t>
  </si>
  <si>
    <t xml:space="preserve">Précision four prechauffe</t>
  </si>
  <si>
    <t xml:space="preserve">TH plus haut PE de 1,3 %</t>
  </si>
  <si>
    <t xml:space="preserve">diminution du TH meteil de 1 %</t>
  </si>
  <si>
    <t xml:space="preserve">+1 g de levure pour 1000g de farine pour le pdm</t>
  </si>
  <si>
    <t xml:space="preserve">+14g d'eau pour 600g de farine</t>
  </si>
  <si>
    <t xml:space="preserve">Ajout type pizza pour corriger le volume restant de pate</t>
  </si>
  <si>
    <t xml:space="preserve">Passage TH à 56 % pour le meteil</t>
  </si>
  <si>
    <t xml:space="preserve">Retour à 56 % pour le SemiComplet</t>
  </si>
  <si>
    <t xml:space="preserve">Remontée à 16g sel/Kg (au lieu de 15,5g meteil et 15g SC)</t>
  </si>
  <si>
    <t xml:space="preserve">Ajustement poids SC et Meteil et Pdm</t>
  </si>
  <si>
    <t xml:space="preserve">17G sel au kg de farine</t>
  </si>
  <si>
    <t xml:space="preserve">Levure activé passage à 4 % au lieu de 5 %</t>
  </si>
  <si>
    <t xml:space="preserve">3/1000 levure activé pour le pdm</t>
  </si>
  <si>
    <t xml:space="preserve">Baisse des temperatures du four</t>
  </si>
  <si>
    <t xml:space="preserve">2/1000 levure activé pour le pdm</t>
  </si>
  <si>
    <t xml:space="preserve">0,75/1000 de levure activé pour le pdm</t>
  </si>
  <si>
    <t xml:space="preserve">PE : Plus de blé remplacé par 3/4 de levain de seigle</t>
  </si>
  <si>
    <t xml:space="preserve">fix poids net pain sc (retire 130g en poids net)</t>
  </si>
  <si>
    <t xml:space="preserve">1/1000 de levure activé pour le pdm</t>
  </si>
  <si>
    <t xml:space="preserve">fix poids pdm (retire 30g en poids net)</t>
  </si>
  <si>
    <t xml:space="preserve">moins d’eau + farine pour le PE</t>
  </si>
  <si>
    <t xml:space="preserve">PE : Augmentatoin de 10 % du levain de seigle</t>
  </si>
  <si>
    <t xml:space="preserve">1 pizza SC et Meteil par defaut</t>
  </si>
  <si>
    <t xml:space="preserve">MAJ des TB</t>
  </si>
  <si>
    <t xml:space="preserve">MAJ des Poids</t>
  </si>
  <si>
    <t xml:space="preserve">Ajout des qtés de pizza a faire</t>
  </si>
  <si>
    <t xml:space="preserve">Ajustement des poids sur les pizzas</t>
  </si>
  <si>
    <t xml:space="preserve">Ajoustement des poids PDM, Nature, Meteil</t>
  </si>
  <si>
    <t xml:space="preserve">TH à 57 %</t>
  </si>
  <si>
    <t xml:space="preserve">Levain a 10 %</t>
  </si>
  <si>
    <t xml:space="preserve">PDM : TH à 56%, Levure à 1g/1000</t>
  </si>
  <si>
    <t xml:space="preserve">TH 61 % 15 % Levain</t>
  </si>
  <si>
    <t xml:space="preserve">TH 61 % Levain 10 % pour le seigle</t>
  </si>
  <si>
    <t xml:space="preserve">TH 61 % Levain 10 % pour le blé</t>
  </si>
  <si>
    <t xml:space="preserve">Levain 5 % seigle pour tous</t>
  </si>
  <si>
    <t xml:space="preserve">Levain 4 % seigle pour tous</t>
  </si>
  <si>
    <t xml:space="preserve">Pour le PE passage à 2,33 au lieu de 2,91 (soit -20 % comme les auttres)</t>
  </si>
  <si>
    <t xml:space="preserve">PDM TH à 53 % au lieu de 57 %</t>
  </si>
  <si>
    <t xml:space="preserve">PDM ajustement poids, -1,5 % de pain cuit</t>
  </si>
  <si>
    <t xml:space="preserve">Levain 3 % pour blé</t>
  </si>
  <si>
    <t xml:space="preserve">Levain 1,9 % pour PE, baisse de la TB</t>
  </si>
  <si>
    <t xml:space="preserve">20 % de sucre de moins (annulation de la majoration passage miel→ sucre)</t>
  </si>
  <si>
    <t xml:space="preserve">0,75g de levure saf non instant  au kilo de farine pour le pdm</t>
  </si>
  <si>
    <t xml:space="preserve">Levain / 2 blé, TH 58 % nature, 60 % seigle</t>
  </si>
  <si>
    <t xml:space="preserve">TH – 2 % pour le ble</t>
  </si>
  <si>
    <t xml:space="preserve">PDM TH à 51 %, ajustement poids final suite baisse sucre</t>
  </si>
  <si>
    <t xml:space="preserve">PE levain à 1 %</t>
  </si>
  <si>
    <t xml:space="preserve">Levain 0,75 % pour le semi complet et seigle</t>
  </si>
  <si>
    <t xml:space="preserve">Ajustement des Tbs</t>
  </si>
  <si>
    <t xml:space="preserve">PDM 0,75g/K de levure activée</t>
  </si>
  <si>
    <t xml:space="preserve">Eau /2 pour les tournesols</t>
  </si>
  <si>
    <t xml:space="preserve">TH 56 % pour le SC</t>
  </si>
  <si>
    <t xml:space="preserve">Ajustement PDM</t>
  </si>
  <si>
    <t xml:space="preserve">1g/kg pour le pdm</t>
  </si>
  <si>
    <t xml:space="preserve">0,75 % levain pour le PE</t>
  </si>
  <si>
    <t xml:space="preserve">1,25 % levure pour le pdm</t>
  </si>
  <si>
    <t xml:space="preserve">25 % de tournesol en moins</t>
  </si>
  <si>
    <t xml:space="preserve">Hydratation à 60-68%</t>
  </si>
  <si>
    <t xml:space="preserve">Calcul ajusté:</t>
  </si>
  <si>
    <t xml:space="preserve">Recette</t>
  </si>
  <si>
    <t xml:space="preserve">autolyse à 20h</t>
  </si>
  <si>
    <t xml:space="preserve">Farine T80 : 5067 g</t>
  </si>
  <si>
    <t xml:space="preserve">2 rabats à 23h et 0h00</t>
  </si>
  <si>
    <t xml:space="preserve">Température d'eau pour autolyse = [(Température cible autolyse × 2) - Température farine] + Compensation pétrin</t>
  </si>
  <si>
    <t xml:space="preserve">Température d'eau = [(25 × 2) - 15] + 2 = 50 - 15 + 2 = 37°C</t>
  </si>
  <si>
    <t xml:space="preserve">Levain : 608 g (12 %, 304 g farine + 304 g eau), ph 4,2-4,8</t>
  </si>
  <si>
    <t xml:space="preserve">Eau ajoutée : 3724 g (75 %)</t>
  </si>
  <si>
    <t xml:space="preserve">Sel : 86 g</t>
  </si>
  <si>
    <t xml:space="preserve">Procédé</t>
  </si>
  <si>
    <t xml:space="preserve">Levain :</t>
  </si>
  <si>
    <t xml:space="preserve">17h : 50 g + 100 g farine + 100 g eau = 250 g.</t>
  </si>
  <si>
    <t xml:space="preserve">21h : 250 g + 200 g farine + 200 g eau = 650 g. Prenez 608 g (4h, pH 4,5-4,8).</t>
  </si>
  <si>
    <t xml:space="preserve">20h : Autolyse (5067 g farine + 3724 g eau à 14°C), 1h.</t>
  </si>
  <si>
    <t xml:space="preserve">21h : Pétrissage avec 608 g levain (24°C) + 86 g sel, 7 min au robot (pâton ~25°C, pH ~5,4-5,6).</t>
  </si>
  <si>
    <t xml:space="preserve">Rabat 1 : 23h.</t>
  </si>
  <si>
    <t xml:space="preserve">Rabat 2 : 23h45.</t>
  </si>
  <si>
    <t xml:space="preserve">Pousse 1 : 23h59 à 8h (8h) à 20°C, pH ~4,4-4,6.</t>
  </si>
  <si>
    <t xml:space="preserve">Façonnage : 8h.</t>
  </si>
  <si>
    <t xml:space="preserve">Pousse 2 : 8h à 10h15 (2h15) à 26°C, pH ~4,1-4,3.</t>
  </si>
  <si>
    <t xml:space="preserve">Cuisson : 230°C, 45-50 min (10h15-11h).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</si>
</sst>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General"/>
    <numFmt numFmtId="166" formatCode="0"/>
    <numFmt numFmtId="167" formatCode="0.0"/>
    <numFmt numFmtId="168" formatCode="&quot;VRAI&quot;;&quot;VRAI&quot;;&quot;FAUX&quot;"/>
    <numFmt numFmtId="169" formatCode="0.00"/>
    <numFmt numFmtId="170" formatCode="#,##0.00"/>
    <numFmt numFmtId="171" formatCode="0.00\ %"/>
    <numFmt numFmtId="172" formatCode="0.0%"/>
    <numFmt numFmtId="173" formatCode="0\ %"/>
    <numFmt numFmtId="174" formatCode="0.0\ %"/>
    <numFmt numFmtId="175" formatCode="0.00%"/>
    <numFmt numFmtId="176" formatCode="#,##0.00\ [$€-40C];[RED]\-#,##0.00\ [$€-40C]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0"/>
      <charset val="1"/>
    </font>
    <font>
      <sz val="18"/>
      <color rgb="FF000000"/>
      <name val="Calibri"/>
      <family val="0"/>
      <charset val="1"/>
    </font>
    <font>
      <sz val="17"/>
      <color rgb="FF000000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sz val="16"/>
      <color rgb="FF000000"/>
      <name val="Calibri"/>
      <family val="0"/>
      <charset val="1"/>
    </font>
    <font>
      <sz val="13"/>
      <color rgb="FF000000"/>
      <name val="Calibri"/>
      <family val="0"/>
      <charset val="1"/>
    </font>
    <font>
      <sz val="22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0"/>
      <name val="Arial"/>
      <family val="2"/>
    </font>
    <font>
      <sz val="12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E8F2A1"/>
        <bgColor rgb="FFDDE8CB"/>
      </patternFill>
    </fill>
    <fill>
      <patternFill patternType="solid">
        <fgColor rgb="FFDDE8CB"/>
        <bgColor rgb="FFDDDDDD"/>
      </patternFill>
    </fill>
    <fill>
      <patternFill patternType="solid">
        <fgColor rgb="FFFF0000"/>
        <bgColor rgb="FF993300"/>
      </patternFill>
    </fill>
    <fill>
      <patternFill patternType="solid">
        <fgColor rgb="FFFFF5CE"/>
        <bgColor rgb="FFFFFFFF"/>
      </patternFill>
    </fill>
    <fill>
      <patternFill patternType="solid">
        <fgColor rgb="FFFFA6A6"/>
        <bgColor rgb="FFFFCC99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H1:Y48"/>
  <sheetViews>
    <sheetView showFormulas="false" showGridLines="true" showRowColHeaders="true" showZeros="true" rightToLeft="false" tabSelected="false" showOutlineSymbols="true" defaultGridColor="true" view="normal" topLeftCell="M1" colorId="64" zoomScale="100" zoomScaleNormal="100" zoomScalePageLayoutView="100" workbookViewId="0">
      <selection pane="topLeft" activeCell="W12" activeCellId="1" sqref="D9:D22 W12"/>
    </sheetView>
  </sheetViews>
  <sheetFormatPr defaultColWidth="9.08203125" defaultRowHeight="17.3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20" min="15" style="2" width="16.48"/>
    <col collapsed="false" customWidth="true" hidden="false" outlineLevel="0" max="21" min="21" style="1" width="1.6"/>
    <col collapsed="false" customWidth="true" hidden="false" outlineLevel="0" max="22" min="22" style="1" width="21.73"/>
    <col collapsed="false" customWidth="true" hidden="false" outlineLevel="0" max="23" min="23" style="1" width="7.1"/>
  </cols>
  <sheetData>
    <row r="1" customFormat="false" ht="13.5" hidden="false" customHeight="true" outlineLevel="0" collapsed="false"/>
    <row r="2" customFormat="false" ht="13.5" hidden="false" customHeight="true" outlineLevel="0" collapsed="false"/>
    <row r="3" customFormat="false" ht="24.85" hidden="false" customHeight="true" outlineLevel="0" collapsed="false">
      <c r="O3" s="3" t="str">
        <f aca="false">RIGHT(cp_recap!A1,8)</f>
        <v>03/09/24</v>
      </c>
      <c r="P3" s="3" t="str">
        <f aca="false">Recettes!B1</f>
        <v>Nature</v>
      </c>
      <c r="Q3" s="3" t="str">
        <f aca="false">Recettes!C1</f>
        <v>PE</v>
      </c>
      <c r="R3" s="3" t="s">
        <v>0</v>
      </c>
      <c r="S3" s="3" t="s">
        <v>1</v>
      </c>
      <c r="T3" s="3" t="s">
        <v>2</v>
      </c>
      <c r="U3" s="4"/>
      <c r="V3" s="3" t="n">
        <f aca="false">cp_recap!F3</f>
        <v>0</v>
      </c>
      <c r="W3" s="3" t="n">
        <f aca="false">cp_recap!G3</f>
        <v>0</v>
      </c>
    </row>
    <row r="4" customFormat="false" ht="24.85" hidden="false" customHeight="true" outlineLevel="0" collapsed="false">
      <c r="O4" s="3" t="s">
        <v>3</v>
      </c>
      <c r="P4" s="5" t="n">
        <f aca="false">Recettes!B2-Recettes!I2+Recettes!I6+Recettes!I7</f>
        <v>214</v>
      </c>
      <c r="Q4" s="5" t="n">
        <f aca="false">Recettes!C2</f>
        <v>0</v>
      </c>
      <c r="R4" s="3" t="n">
        <f aca="false">Recettes!K2</f>
        <v>0</v>
      </c>
      <c r="S4" s="3" t="n">
        <f aca="false">Recettes!G2</f>
        <v>0</v>
      </c>
      <c r="T4" s="3" t="n">
        <f aca="false">Recettes!E2</f>
        <v>212</v>
      </c>
      <c r="U4" s="4"/>
      <c r="V4" s="3" t="n">
        <f aca="false">cp_recap!F4</f>
        <v>0</v>
      </c>
      <c r="W4" s="3" t="n">
        <f aca="false">cp_recap!G4</f>
        <v>0</v>
      </c>
    </row>
    <row r="5" customFormat="false" ht="24.85" hidden="false" customHeight="true" outlineLevel="0" collapsed="false">
      <c r="O5" s="3" t="s">
        <v>4</v>
      </c>
      <c r="P5" s="5" t="n">
        <f aca="false">Recettes!B5</f>
        <v>0</v>
      </c>
      <c r="Q5" s="5"/>
      <c r="R5" s="5" t="n">
        <f aca="false">Recettes!K5</f>
        <v>0</v>
      </c>
      <c r="S5" s="3" t="str">
        <f aca="false">"Paton:"&amp;ROUND(Recettes!I5,0)</f>
        <v>Paton:0</v>
      </c>
      <c r="T5" s="5" t="n">
        <f aca="false">Recettes!E5</f>
        <v>30.6776470588235</v>
      </c>
      <c r="U5" s="4"/>
      <c r="V5" s="3" t="n">
        <f aca="false">cp_recap!F5</f>
        <v>0</v>
      </c>
      <c r="W5" s="3" t="n">
        <f aca="false">cp_recap!G5</f>
        <v>0</v>
      </c>
    </row>
    <row r="6" customFormat="false" ht="24.85" hidden="false" customHeight="true" outlineLevel="0" collapsed="false">
      <c r="O6" s="3" t="s">
        <v>5</v>
      </c>
      <c r="P6" s="5" t="n">
        <f aca="false">Recettes!B6</f>
        <v>159.297026856058</v>
      </c>
      <c r="Q6" s="5" t="n">
        <f aca="false">Recettes!C6</f>
        <v>0</v>
      </c>
      <c r="R6" s="5" t="n">
        <f aca="false">Recettes!K6</f>
        <v>0</v>
      </c>
      <c r="S6" s="5" t="str">
        <f aca="false">"Graine:"&amp;Recettes!I6</f>
        <v>Graine:0</v>
      </c>
      <c r="T6" s="5" t="n">
        <f aca="false">Recettes!E6</f>
        <v>125.204705882353</v>
      </c>
      <c r="U6" s="4"/>
      <c r="V6" s="3" t="n">
        <f aca="false">cp_recap!F6</f>
        <v>0</v>
      </c>
      <c r="W6" s="3" t="n">
        <f aca="false">cp_recap!G6</f>
        <v>0</v>
      </c>
    </row>
    <row r="7" customFormat="false" ht="24.85" hidden="false" customHeight="true" outlineLevel="0" collapsed="false">
      <c r="O7" s="3" t="s">
        <v>6</v>
      </c>
      <c r="P7" s="5" t="n">
        <f aca="false">Recettes!B7</f>
        <v>88.9523261832193</v>
      </c>
      <c r="Q7" s="5" t="n">
        <f aca="false">Recettes!C7</f>
        <v>0</v>
      </c>
      <c r="R7" s="5" t="n">
        <f aca="false">Recettes!K7</f>
        <v>0</v>
      </c>
      <c r="S7" s="5" t="n">
        <f aca="false">Recettes!I7</f>
        <v>0</v>
      </c>
      <c r="T7" s="5" t="n">
        <f aca="false">Recettes!E7</f>
        <v>93.3423529411765</v>
      </c>
      <c r="U7" s="4"/>
      <c r="V7" s="3" t="n">
        <f aca="false">cp_recap!F7</f>
        <v>0</v>
      </c>
      <c r="W7" s="3" t="n">
        <f aca="false">cp_recap!G7</f>
        <v>0</v>
      </c>
    </row>
    <row r="8" customFormat="false" ht="24.85" hidden="false" customHeight="true" outlineLevel="0" collapsed="false">
      <c r="O8" s="3" t="s">
        <v>7</v>
      </c>
      <c r="P8" s="5" t="n">
        <f aca="false">Recettes!B8</f>
        <v>1.1814365403416</v>
      </c>
      <c r="Q8" s="6" t="n">
        <f aca="false">Recettes!C8</f>
        <v>0</v>
      </c>
      <c r="R8" s="6" t="str">
        <f aca="false">ROUND(Recettes!K8,1)&amp;" +sucre"</f>
        <v>0 +sucre</v>
      </c>
      <c r="S8" s="5" t="s">
        <v>8</v>
      </c>
      <c r="T8" s="5" t="n">
        <f aca="false">Recettes!E8</f>
        <v>1.18470588235294</v>
      </c>
      <c r="U8" s="4"/>
      <c r="V8" s="3" t="n">
        <f aca="false">cp_recap!F8</f>
        <v>0</v>
      </c>
      <c r="W8" s="3" t="n">
        <f aca="false">cp_recap!G8</f>
        <v>0</v>
      </c>
    </row>
    <row r="9" customFormat="false" ht="24.85" hidden="false" customHeight="true" outlineLevel="0" collapsed="false">
      <c r="O9" s="3" t="s">
        <v>9</v>
      </c>
      <c r="P9" s="5" t="n">
        <f aca="false">Recettes!B9</f>
        <v>2.70804945655299</v>
      </c>
      <c r="Q9" s="5" t="n">
        <f aca="false">Recettes!C9</f>
        <v>0</v>
      </c>
      <c r="R9" s="5" t="n">
        <f aca="false">Recettes!K9</f>
        <v>0</v>
      </c>
      <c r="S9" s="5"/>
      <c r="T9" s="5" t="n">
        <f aca="false">Recettes!E9</f>
        <v>2.65</v>
      </c>
      <c r="U9" s="4"/>
      <c r="V9" s="3" t="s">
        <v>10</v>
      </c>
      <c r="W9" s="3" t="n">
        <f aca="false">cp_recap!G9</f>
        <v>0</v>
      </c>
    </row>
    <row r="10" customFormat="false" ht="24.85" hidden="false" customHeight="true" outlineLevel="0" collapsed="false">
      <c r="O10" s="3"/>
      <c r="P10" s="3" t="s">
        <v>11</v>
      </c>
      <c r="Q10" s="3"/>
      <c r="R10" s="5" t="str">
        <f aca="false">"Sucre "&amp;ROUND(Recettes!K10,0)</f>
        <v>Sucre 0</v>
      </c>
      <c r="S10" s="3"/>
      <c r="T10" s="5" t="s">
        <v>12</v>
      </c>
      <c r="U10" s="4"/>
      <c r="V10" s="3" t="n">
        <f aca="false">cp_recap!F10</f>
        <v>0</v>
      </c>
      <c r="W10" s="3" t="n">
        <f aca="false">cp_recap!G10</f>
        <v>0</v>
      </c>
    </row>
    <row r="11" customFormat="false" ht="24.85" hidden="false" customHeight="true" outlineLevel="0" collapsed="false">
      <c r="O11" s="3"/>
      <c r="P11" s="3" t="s">
        <v>13</v>
      </c>
      <c r="Q11" s="3"/>
      <c r="R11" s="5" t="str">
        <f aca="false">"Huile "&amp;ROUND(Recettes!K11,0)</f>
        <v>Huile 0</v>
      </c>
      <c r="S11" s="3"/>
      <c r="T11" s="3" t="s">
        <v>14</v>
      </c>
      <c r="U11" s="4"/>
      <c r="V11" s="3" t="n">
        <f aca="false">cp_recap!F11</f>
        <v>0</v>
      </c>
      <c r="W11" s="3" t="n">
        <f aca="false">cp_recap!G11</f>
        <v>0</v>
      </c>
    </row>
    <row r="12" customFormat="false" ht="24.85" hidden="false" customHeight="true" outlineLevel="0" collapsed="false">
      <c r="O12" s="3"/>
      <c r="P12" s="3"/>
      <c r="Q12" s="3"/>
      <c r="R12" s="5" t="str">
        <f aca="false">"Soja "&amp;ROUND(Recettes!K12,0)</f>
        <v>Soja 0</v>
      </c>
      <c r="S12" s="3"/>
      <c r="T12" s="3"/>
      <c r="U12" s="4"/>
      <c r="V12" s="3" t="s">
        <v>15</v>
      </c>
      <c r="W12" s="6" t="n">
        <f aca="false">IF(SUM(cp_recap!D23:D26)&lt;&gt;0,SUM(cp_recap!D23:D26)/2,1)</f>
        <v>1</v>
      </c>
      <c r="Y12" s="7"/>
    </row>
    <row r="13" customFormat="false" ht="24.85" hidden="false" customHeight="true" outlineLevel="0" collapsed="false">
      <c r="O13" s="3" t="s">
        <v>16</v>
      </c>
      <c r="P13" s="5" t="n">
        <f aca="false">Recettes!B15-Recettes!I5</f>
        <v>252.138839036172</v>
      </c>
      <c r="Q13" s="5" t="n">
        <f aca="false">Recettes!C15</f>
        <v>0</v>
      </c>
      <c r="R13" s="5" t="n">
        <f aca="false">Recettes!K15</f>
        <v>0</v>
      </c>
      <c r="S13" s="5" t="n">
        <f aca="false">Recettes!I5+Recettes!I6+Recettes!I7</f>
        <v>0</v>
      </c>
      <c r="T13" s="5" t="n">
        <f aca="false">Recettes!E15</f>
        <v>253.059411764706</v>
      </c>
      <c r="U13" s="4"/>
      <c r="V13" s="3" t="s">
        <v>17</v>
      </c>
      <c r="W13" s="6" t="n">
        <f aca="false">IF(SUM(cp_recap!D23:D26)&lt;&gt;0,SUM(cp_recap!D23:D26)/2,1)</f>
        <v>1</v>
      </c>
    </row>
    <row r="14" customFormat="false" ht="24.85" hidden="false" customHeight="true" outlineLevel="0" collapsed="false">
      <c r="O14" s="8" t="str">
        <f aca="false">"Total Eau : "&amp;ROUND(SUM($P$7:$T$7),0)</f>
        <v>Total Eau : 182</v>
      </c>
      <c r="P14" s="9"/>
      <c r="Q14" s="10" t="s">
        <v>18</v>
      </c>
      <c r="R14" s="9" t="n">
        <f aca="false">ROUND($P$8+$T$8+$Q$8,0)</f>
        <v>2</v>
      </c>
      <c r="S14" s="9"/>
      <c r="T14" s="9"/>
      <c r="U14" s="11"/>
      <c r="V14" s="12"/>
      <c r="W14" s="12" t="str">
        <f aca="false">"v"&amp;MAX(version!A:A)</f>
        <v>v61</v>
      </c>
    </row>
    <row r="15" customFormat="false" ht="24.85" hidden="false" customHeight="true" outlineLevel="0" collapsed="false">
      <c r="O15" s="13" t="s">
        <v>19</v>
      </c>
      <c r="P15" s="14" t="s">
        <v>20</v>
      </c>
      <c r="Q15" s="14" t="s">
        <v>20</v>
      </c>
      <c r="R15" s="14" t="s">
        <v>21</v>
      </c>
      <c r="S15" s="15" t="s">
        <v>22</v>
      </c>
      <c r="T15" s="9"/>
      <c r="U15" s="11"/>
      <c r="V15" s="12"/>
      <c r="W15" s="16"/>
    </row>
    <row r="16" customFormat="false" ht="24.85" hidden="false" customHeight="true" outlineLevel="0" collapsed="false">
      <c r="O16" s="17" t="s">
        <v>23</v>
      </c>
      <c r="P16" s="9" t="s">
        <v>24</v>
      </c>
      <c r="Q16" s="9" t="s">
        <v>25</v>
      </c>
      <c r="R16" s="14" t="s">
        <v>26</v>
      </c>
      <c r="S16" s="15" t="s">
        <v>27</v>
      </c>
      <c r="T16" s="9"/>
      <c r="U16" s="11"/>
      <c r="V16" s="12"/>
      <c r="W16" s="12"/>
    </row>
    <row r="17" customFormat="false" ht="24.85" hidden="false" customHeight="true" outlineLevel="0" collapsed="false">
      <c r="O17" s="18" t="s">
        <v>28</v>
      </c>
      <c r="P17" s="19" t="s">
        <v>29</v>
      </c>
      <c r="Q17" s="13"/>
      <c r="R17" s="9"/>
      <c r="S17" s="9" t="s">
        <v>30</v>
      </c>
      <c r="T17" s="9"/>
      <c r="U17" s="11"/>
      <c r="V17" s="12" t="s">
        <v>31</v>
      </c>
      <c r="W17" s="12"/>
    </row>
    <row r="18" customFormat="false" ht="24.85" hidden="false" customHeight="true" outlineLevel="0" collapsed="false">
      <c r="O18" s="20" t="s">
        <v>32</v>
      </c>
      <c r="P18" s="21" t="str">
        <f aca="false">"2x24-4"</f>
        <v>2x24-4</v>
      </c>
      <c r="Q18" s="21" t="str">
        <f aca="false">"2x24-4"</f>
        <v>2x24-4</v>
      </c>
      <c r="R18" s="21" t="str">
        <f aca="false">"2x24-12"</f>
        <v>2x24-12</v>
      </c>
      <c r="S18" s="21"/>
      <c r="T18" s="21" t="str">
        <f aca="false">"2x24-6"</f>
        <v>2x24-6</v>
      </c>
      <c r="U18" s="11"/>
      <c r="V18" s="12"/>
      <c r="W18" s="12"/>
    </row>
    <row r="19" customFormat="false" ht="24.85" hidden="false" customHeight="true" outlineLevel="0" collapsed="false">
      <c r="O19" s="22" t="s">
        <v>33</v>
      </c>
      <c r="P19" s="23"/>
      <c r="Q19" s="23"/>
      <c r="R19" s="5"/>
      <c r="S19" s="5"/>
      <c r="T19" s="23"/>
      <c r="U19" s="11"/>
      <c r="V19" s="12"/>
      <c r="W19" s="12"/>
    </row>
    <row r="20" customFormat="false" ht="24.85" hidden="false" customHeight="true" outlineLevel="0" collapsed="false">
      <c r="O20" s="24" t="s">
        <v>28</v>
      </c>
      <c r="P20" s="23"/>
      <c r="Q20" s="23"/>
      <c r="R20" s="5"/>
      <c r="S20" s="5"/>
      <c r="T20" s="23"/>
      <c r="U20" s="11"/>
      <c r="V20" s="12"/>
      <c r="W20" s="12"/>
    </row>
    <row r="21" customFormat="false" ht="24.85" hidden="false" customHeight="true" outlineLevel="0" collapsed="false">
      <c r="O21" s="22" t="s">
        <v>34</v>
      </c>
      <c r="P21" s="23"/>
      <c r="Q21" s="23"/>
      <c r="R21" s="5"/>
      <c r="S21" s="5"/>
      <c r="T21" s="23"/>
      <c r="U21" s="11"/>
      <c r="V21" s="12"/>
      <c r="W21" s="12"/>
    </row>
    <row r="22" customFormat="false" ht="76.4" hidden="false" customHeight="true" outlineLevel="0" collapsed="false">
      <c r="P22" s="25"/>
    </row>
    <row r="23" customFormat="false" ht="24.95" hidden="false" customHeight="true" outlineLevel="0" collapsed="false">
      <c r="O23" s="26" t="str">
        <f aca="false">cp_recap!A3</f>
        <v>Méteil Nature 15% Seigle</v>
      </c>
      <c r="P23" s="27"/>
      <c r="Q23" s="28"/>
      <c r="R23" s="29" t="str">
        <f aca="false">cp_recap!B3</f>
        <v>batard</v>
      </c>
      <c r="S23" s="30" t="str">
        <f aca="false">cp_recap!C3</f>
        <v>600g</v>
      </c>
      <c r="T23" s="30" t="n">
        <f aca="false">cp_recap!D3</f>
        <v>0</v>
      </c>
      <c r="U23" s="31"/>
      <c r="V23" s="32" t="n">
        <v>700</v>
      </c>
    </row>
    <row r="24" customFormat="false" ht="24.95" hidden="false" customHeight="true" outlineLevel="0" collapsed="false">
      <c r="O24" s="33"/>
      <c r="P24" s="34"/>
      <c r="Q24" s="35"/>
      <c r="R24" s="36" t="str">
        <f aca="false">cp_recap!B4</f>
        <v>batard</v>
      </c>
      <c r="S24" s="37" t="str">
        <f aca="false">cp_recap!C4</f>
        <v>1000g</v>
      </c>
      <c r="T24" s="37" t="n">
        <f aca="false">cp_recap!D4</f>
        <v>0</v>
      </c>
      <c r="U24" s="38"/>
      <c r="V24" s="39" t="n">
        <v>1180</v>
      </c>
    </row>
    <row r="25" customFormat="false" ht="24.95" hidden="false" customHeight="true" outlineLevel="0" collapsed="false">
      <c r="O25" s="33"/>
      <c r="P25" s="34"/>
      <c r="Q25" s="35"/>
      <c r="R25" s="29" t="str">
        <f aca="false">cp_recap!B5</f>
        <v>batard</v>
      </c>
      <c r="S25" s="30" t="str">
        <f aca="false">cp_recap!C5</f>
        <v>1500g</v>
      </c>
      <c r="T25" s="30" t="n">
        <f aca="false">cp_recap!D5</f>
        <v>0</v>
      </c>
      <c r="U25" s="31"/>
      <c r="V25" s="32" t="n">
        <v>1800</v>
      </c>
    </row>
    <row r="26" customFormat="false" ht="24.95" hidden="false" customHeight="true" outlineLevel="0" collapsed="false">
      <c r="O26" s="33"/>
      <c r="P26" s="34"/>
      <c r="Q26" s="35"/>
      <c r="R26" s="36" t="str">
        <f aca="false">cp_recap!B6</f>
        <v>moule</v>
      </c>
      <c r="S26" s="37" t="str">
        <f aca="false">cp_recap!C6</f>
        <v>600g</v>
      </c>
      <c r="T26" s="37" t="n">
        <f aca="false">cp_recap!D6</f>
        <v>0</v>
      </c>
      <c r="U26" s="38"/>
      <c r="V26" s="39" t="n">
        <v>700</v>
      </c>
    </row>
    <row r="27" customFormat="false" ht="24.95" hidden="false" customHeight="true" outlineLevel="0" collapsed="false">
      <c r="O27" s="33"/>
      <c r="P27" s="34"/>
      <c r="Q27" s="35"/>
      <c r="R27" s="29" t="str">
        <f aca="false">cp_recap!B7</f>
        <v>moule</v>
      </c>
      <c r="S27" s="30" t="str">
        <f aca="false">cp_recap!C7</f>
        <v>800g</v>
      </c>
      <c r="T27" s="30" t="n">
        <f aca="false">cp_recap!D7</f>
        <v>0</v>
      </c>
      <c r="U27" s="31"/>
      <c r="V27" s="32" t="n">
        <v>900</v>
      </c>
    </row>
    <row r="28" customFormat="false" ht="24.95" hidden="false" customHeight="true" outlineLevel="0" collapsed="false">
      <c r="O28" s="40"/>
      <c r="P28" s="41"/>
      <c r="Q28" s="42"/>
      <c r="R28" s="36" t="str">
        <f aca="false">cp_recap!B8</f>
        <v>moule</v>
      </c>
      <c r="S28" s="37" t="str">
        <f aca="false">cp_recap!C8</f>
        <v>1000g</v>
      </c>
      <c r="T28" s="37" t="n">
        <f aca="false">cp_recap!D8</f>
        <v>0</v>
      </c>
      <c r="U28" s="38"/>
      <c r="V28" s="39" t="n">
        <v>1180</v>
      </c>
    </row>
    <row r="29" customFormat="false" ht="24.95" hidden="false" customHeight="true" outlineLevel="0" collapsed="false">
      <c r="O29" s="26" t="str">
        <f aca="false">cp_recap!A9</f>
        <v>Tournesol Toasté</v>
      </c>
      <c r="P29" s="27"/>
      <c r="Q29" s="43"/>
      <c r="R29" s="29" t="str">
        <f aca="false">cp_recap!B9</f>
        <v>moule</v>
      </c>
      <c r="S29" s="30" t="str">
        <f aca="false">cp_recap!C9</f>
        <v>520g</v>
      </c>
      <c r="T29" s="30" t="n">
        <f aca="false">cp_recap!D9</f>
        <v>0</v>
      </c>
      <c r="U29" s="31"/>
      <c r="V29" s="32" t="n">
        <v>600</v>
      </c>
    </row>
    <row r="30" customFormat="false" ht="24.95" hidden="false" customHeight="true" outlineLevel="0" collapsed="false">
      <c r="O30" s="40"/>
      <c r="P30" s="41"/>
      <c r="Q30" s="44"/>
      <c r="R30" s="36" t="str">
        <f aca="false">cp_recap!B10</f>
        <v>batard</v>
      </c>
      <c r="S30" s="37" t="str">
        <f aca="false">cp_recap!C10</f>
        <v>520g</v>
      </c>
      <c r="T30" s="37" t="n">
        <f aca="false">cp_recap!D10</f>
        <v>0</v>
      </c>
      <c r="U30" s="38"/>
      <c r="V30" s="39" t="n">
        <v>600</v>
      </c>
    </row>
    <row r="31" customFormat="false" ht="24.95" hidden="false" customHeight="true" outlineLevel="0" collapsed="false">
      <c r="O31" s="26" t="str">
        <f aca="false">cp_recap!A11</f>
        <v>Pain de mie végé</v>
      </c>
      <c r="P31" s="27"/>
      <c r="Q31" s="43"/>
      <c r="R31" s="29" t="str">
        <f aca="false">cp_recap!B11</f>
        <v>500g</v>
      </c>
      <c r="S31" s="30" t="n">
        <f aca="false">cp_recap!C11</f>
        <v>0</v>
      </c>
      <c r="T31" s="30" t="n">
        <f aca="false">cp_recap!D11</f>
        <v>0</v>
      </c>
      <c r="U31" s="31"/>
      <c r="V31" s="32" t="n">
        <v>550</v>
      </c>
    </row>
    <row r="32" customFormat="false" ht="24.95" hidden="false" customHeight="true" outlineLevel="0" collapsed="false">
      <c r="O32" s="33"/>
      <c r="P32" s="34"/>
      <c r="Q32" s="45"/>
      <c r="R32" s="36" t="str">
        <f aca="false">cp_recap!B12</f>
        <v>1000g</v>
      </c>
      <c r="S32" s="37" t="n">
        <f aca="false">cp_recap!C12</f>
        <v>0</v>
      </c>
      <c r="T32" s="37" t="n">
        <f aca="false">cp_recap!D12</f>
        <v>0</v>
      </c>
      <c r="U32" s="38"/>
      <c r="V32" s="39" t="n">
        <v>1150</v>
      </c>
    </row>
    <row r="33" customFormat="false" ht="24.95" hidden="false" customHeight="true" outlineLevel="0" collapsed="false">
      <c r="O33" s="40"/>
      <c r="P33" s="41"/>
      <c r="Q33" s="44"/>
      <c r="R33" s="29" t="str">
        <f aca="false">cp_recap!B13</f>
        <v>1400g</v>
      </c>
      <c r="S33" s="30" t="n">
        <f aca="false">cp_recap!C13</f>
        <v>0</v>
      </c>
      <c r="T33" s="30" t="n">
        <f aca="false">cp_recap!D13</f>
        <v>0</v>
      </c>
      <c r="U33" s="31"/>
      <c r="V33" s="32" t="n">
        <v>1500</v>
      </c>
    </row>
    <row r="34" customFormat="false" ht="24.95" hidden="false" customHeight="true" outlineLevel="0" collapsed="false">
      <c r="O34" s="26" t="str">
        <f aca="false">cp_recap!A14</f>
        <v>Moulé Petit Epeautre</v>
      </c>
      <c r="P34" s="27"/>
      <c r="Q34" s="43"/>
      <c r="R34" s="36" t="str">
        <f aca="false">cp_recap!B14</f>
        <v>300g</v>
      </c>
      <c r="S34" s="37" t="n">
        <f aca="false">cp_recap!C14</f>
        <v>0</v>
      </c>
      <c r="T34" s="37" t="n">
        <f aca="false">cp_recap!D14</f>
        <v>0</v>
      </c>
      <c r="U34" s="38"/>
      <c r="V34" s="39" t="n">
        <v>350</v>
      </c>
    </row>
    <row r="35" customFormat="false" ht="24.95" hidden="false" customHeight="true" outlineLevel="0" collapsed="false">
      <c r="O35" s="33"/>
      <c r="P35" s="34"/>
      <c r="Q35" s="45"/>
      <c r="R35" s="29" t="str">
        <f aca="false">cp_recap!B15</f>
        <v>600g</v>
      </c>
      <c r="S35" s="30" t="n">
        <f aca="false">cp_recap!C15</f>
        <v>0</v>
      </c>
      <c r="T35" s="30" t="n">
        <f aca="false">cp_recap!D15</f>
        <v>0</v>
      </c>
      <c r="U35" s="31"/>
      <c r="V35" s="32" t="n">
        <v>700</v>
      </c>
    </row>
    <row r="36" customFormat="false" ht="24.95" hidden="false" customHeight="true" outlineLevel="0" collapsed="false">
      <c r="O36" s="40"/>
      <c r="P36" s="41"/>
      <c r="Q36" s="44"/>
      <c r="R36" s="36" t="str">
        <f aca="false">cp_recap!B16</f>
        <v>1000g</v>
      </c>
      <c r="S36" s="37" t="n">
        <f aca="false">cp_recap!C16</f>
        <v>0</v>
      </c>
      <c r="T36" s="37" t="n">
        <f aca="false">cp_recap!D16</f>
        <v>0</v>
      </c>
      <c r="U36" s="38"/>
      <c r="V36" s="39" t="n">
        <v>1180</v>
      </c>
    </row>
    <row r="37" customFormat="false" ht="24.95" hidden="false" customHeight="true" outlineLevel="0" collapsed="false">
      <c r="O37" s="26" t="str">
        <f aca="false">cp_recap!A17</f>
        <v>Semi complet Nature</v>
      </c>
      <c r="P37" s="27"/>
      <c r="Q37" s="43"/>
      <c r="R37" s="29" t="str">
        <f aca="false">cp_recap!B17</f>
        <v>batard</v>
      </c>
      <c r="S37" s="30" t="str">
        <f aca="false">cp_recap!C17</f>
        <v>520g</v>
      </c>
      <c r="T37" s="30" t="n">
        <f aca="false">cp_recap!D17</f>
        <v>0</v>
      </c>
      <c r="U37" s="31"/>
      <c r="V37" s="32" t="n">
        <v>600</v>
      </c>
    </row>
    <row r="38" customFormat="false" ht="24.95" hidden="false" customHeight="true" outlineLevel="0" collapsed="false">
      <c r="O38" s="33"/>
      <c r="P38" s="34"/>
      <c r="Q38" s="45"/>
      <c r="R38" s="36" t="str">
        <f aca="false">cp_recap!B18</f>
        <v>batard</v>
      </c>
      <c r="S38" s="37" t="str">
        <f aca="false">cp_recap!C18</f>
        <v>1000g</v>
      </c>
      <c r="T38" s="37" t="n">
        <f aca="false">cp_recap!D18</f>
        <v>0</v>
      </c>
      <c r="U38" s="38"/>
      <c r="V38" s="39" t="n">
        <v>1180</v>
      </c>
    </row>
    <row r="39" customFormat="false" ht="24.95" hidden="false" customHeight="true" outlineLevel="0" collapsed="false">
      <c r="O39" s="46"/>
      <c r="P39" s="47"/>
      <c r="Q39" s="48"/>
      <c r="R39" s="29" t="str">
        <f aca="false">cp_recap!B19</f>
        <v>batard</v>
      </c>
      <c r="S39" s="30" t="str">
        <f aca="false">cp_recap!C19</f>
        <v>1500g</v>
      </c>
      <c r="T39" s="30" t="n">
        <f aca="false">cp_recap!D19</f>
        <v>0</v>
      </c>
      <c r="U39" s="31"/>
      <c r="V39" s="32" t="n">
        <v>1800</v>
      </c>
    </row>
    <row r="40" customFormat="false" ht="24.95" hidden="false" customHeight="true" outlineLevel="0" collapsed="false">
      <c r="H40" s="49"/>
      <c r="K40" s="50"/>
      <c r="O40" s="46"/>
      <c r="P40" s="47"/>
      <c r="Q40" s="48"/>
      <c r="R40" s="36" t="str">
        <f aca="false">cp_recap!B20</f>
        <v>moule</v>
      </c>
      <c r="S40" s="37" t="str">
        <f aca="false">cp_recap!C20</f>
        <v>520g</v>
      </c>
      <c r="T40" s="37" t="n">
        <f aca="false">cp_recap!D20</f>
        <v>0</v>
      </c>
      <c r="U40" s="38"/>
      <c r="V40" s="39" t="n">
        <v>600</v>
      </c>
    </row>
    <row r="41" customFormat="false" ht="24.95" hidden="false" customHeight="true" outlineLevel="0" collapsed="false">
      <c r="H41" s="49"/>
      <c r="K41" s="50"/>
      <c r="O41" s="46"/>
      <c r="P41" s="47"/>
      <c r="Q41" s="48"/>
      <c r="R41" s="29" t="str">
        <f aca="false">cp_recap!B21</f>
        <v>moule</v>
      </c>
      <c r="S41" s="30" t="str">
        <f aca="false">cp_recap!C21</f>
        <v>800g</v>
      </c>
      <c r="T41" s="30" t="n">
        <f aca="false">cp_recap!D21</f>
        <v>0</v>
      </c>
      <c r="U41" s="31"/>
      <c r="V41" s="32" t="n">
        <v>900</v>
      </c>
    </row>
    <row r="42" customFormat="false" ht="24.95" hidden="false" customHeight="true" outlineLevel="0" collapsed="false">
      <c r="H42" s="49"/>
      <c r="K42" s="50"/>
      <c r="O42" s="51"/>
      <c r="P42" s="52"/>
      <c r="Q42" s="53"/>
      <c r="R42" s="36" t="str">
        <f aca="false">cp_recap!B22</f>
        <v>moule</v>
      </c>
      <c r="S42" s="37" t="str">
        <f aca="false">cp_recap!C22</f>
        <v>1000g</v>
      </c>
      <c r="T42" s="37" t="n">
        <f aca="false">cp_recap!D22</f>
        <v>0</v>
      </c>
      <c r="U42" s="38"/>
      <c r="V42" s="39" t="n">
        <v>1180</v>
      </c>
    </row>
    <row r="43" customFormat="false" ht="20.1" hidden="false" customHeight="true" outlineLevel="0" collapsed="false">
      <c r="H43" s="49"/>
      <c r="K43" s="50"/>
      <c r="O43" s="54" t="n">
        <f aca="false">cp_recap!A23</f>
        <v>0</v>
      </c>
      <c r="P43" s="55"/>
      <c r="Q43" s="56"/>
      <c r="R43" s="57" t="n">
        <f aca="false">cp_recap!B23</f>
        <v>0</v>
      </c>
      <c r="S43" s="58"/>
      <c r="T43" s="58" t="n">
        <f aca="false">cp_recap!D23</f>
        <v>0</v>
      </c>
      <c r="U43" s="31"/>
      <c r="V43" s="59"/>
    </row>
    <row r="44" customFormat="false" ht="20.1" hidden="false" customHeight="true" outlineLevel="0" collapsed="false">
      <c r="H44" s="49"/>
      <c r="K44" s="50"/>
      <c r="O44" s="54"/>
      <c r="P44" s="55"/>
      <c r="Q44" s="56"/>
      <c r="R44" s="60" t="n">
        <f aca="false">cp_recap!B24</f>
        <v>0</v>
      </c>
      <c r="S44" s="61"/>
      <c r="T44" s="61" t="n">
        <f aca="false">cp_recap!D24</f>
        <v>0</v>
      </c>
      <c r="U44" s="38"/>
      <c r="V44" s="62"/>
    </row>
    <row r="45" customFormat="false" ht="20.1" hidden="false" customHeight="true" outlineLevel="0" collapsed="false">
      <c r="H45" s="49"/>
      <c r="K45" s="50"/>
      <c r="O45" s="54"/>
      <c r="P45" s="55"/>
      <c r="Q45" s="56"/>
      <c r="R45" s="57" t="n">
        <f aca="false">cp_recap!B25</f>
        <v>0</v>
      </c>
      <c r="S45" s="58"/>
      <c r="T45" s="58" t="n">
        <f aca="false">cp_recap!D25</f>
        <v>0</v>
      </c>
      <c r="U45" s="31"/>
      <c r="V45" s="59"/>
    </row>
    <row r="46" customFormat="false" ht="20.1" hidden="false" customHeight="true" outlineLevel="0" collapsed="false">
      <c r="H46" s="49"/>
      <c r="K46" s="50"/>
      <c r="O46" s="54"/>
      <c r="P46" s="55"/>
      <c r="Q46" s="56"/>
      <c r="R46" s="57" t="n">
        <f aca="false">cp_recap!B26</f>
        <v>0</v>
      </c>
      <c r="S46" s="58"/>
      <c r="T46" s="58" t="n">
        <f aca="false">cp_recap!D26</f>
        <v>0</v>
      </c>
      <c r="U46" s="31"/>
      <c r="V46" s="59"/>
    </row>
    <row r="47" customFormat="false" ht="13.5" hidden="false" customHeight="true" outlineLevel="0" collapsed="false">
      <c r="H47" s="49"/>
      <c r="K47" s="50"/>
    </row>
    <row r="48" customFormat="false" ht="13.5" hidden="false" customHeight="true" outlineLevel="0" collapsed="false">
      <c r="H48" s="49"/>
    </row>
  </sheetData>
  <printOptions headings="false" gridLines="false" gridLinesSet="true" horizontalCentered="false" verticalCentered="false"/>
  <pageMargins left="0.196527777777778" right="0.196527777777778" top="0.472222222222222" bottom="0.472222222222222" header="0.196527777777778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" activeCellId="0" sqref="D9:D22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35</v>
      </c>
    </row>
    <row r="2" customFormat="false" ht="14.25" hidden="false" customHeight="true" outlineLevel="0" collapsed="false">
      <c r="A2" s="1" t="s">
        <v>36</v>
      </c>
      <c r="B2" s="1" t="s">
        <v>37</v>
      </c>
      <c r="C2" s="1" t="s">
        <v>38</v>
      </c>
      <c r="D2" s="1" t="s">
        <v>39</v>
      </c>
      <c r="E2" s="1" t="s">
        <v>40</v>
      </c>
    </row>
    <row r="3" customFormat="false" ht="13.5" hidden="false" customHeight="true" outlineLevel="0" collapsed="false">
      <c r="A3" s="1" t="s">
        <v>41</v>
      </c>
      <c r="B3" s="1" t="s">
        <v>42</v>
      </c>
      <c r="C3" s="1" t="s">
        <v>43</v>
      </c>
      <c r="E3" s="1" t="n">
        <f aca="false">D3*0.6</f>
        <v>0</v>
      </c>
    </row>
    <row r="4" customFormat="false" ht="13.5" hidden="false" customHeight="true" outlineLevel="0" collapsed="false">
      <c r="A4" s="1" t="s">
        <v>41</v>
      </c>
      <c r="B4" s="1" t="s">
        <v>42</v>
      </c>
      <c r="C4" s="1" t="s">
        <v>44</v>
      </c>
      <c r="E4" s="1" t="n">
        <f aca="false">D4*1</f>
        <v>0</v>
      </c>
    </row>
    <row r="5" customFormat="false" ht="13.5" hidden="false" customHeight="true" outlineLevel="0" collapsed="false">
      <c r="A5" s="1" t="s">
        <v>41</v>
      </c>
      <c r="B5" s="1" t="s">
        <v>42</v>
      </c>
      <c r="C5" s="1" t="s">
        <v>45</v>
      </c>
      <c r="E5" s="1" t="n">
        <f aca="false">D5*1.5</f>
        <v>0</v>
      </c>
    </row>
    <row r="6" customFormat="false" ht="13.5" hidden="false" customHeight="true" outlineLevel="0" collapsed="false">
      <c r="A6" s="1" t="s">
        <v>41</v>
      </c>
      <c r="B6" s="1" t="s">
        <v>46</v>
      </c>
      <c r="C6" s="1" t="s">
        <v>43</v>
      </c>
      <c r="E6" s="1" t="n">
        <f aca="false">D6*0.6</f>
        <v>0</v>
      </c>
    </row>
    <row r="7" customFormat="false" ht="13.5" hidden="false" customHeight="true" outlineLevel="0" collapsed="false">
      <c r="A7" s="1" t="s">
        <v>41</v>
      </c>
      <c r="B7" s="1" t="s">
        <v>46</v>
      </c>
      <c r="C7" s="1" t="s">
        <v>47</v>
      </c>
      <c r="E7" s="1" t="n">
        <f aca="false">D7*0.8</f>
        <v>0</v>
      </c>
    </row>
    <row r="8" customFormat="false" ht="13.5" hidden="false" customHeight="true" outlineLevel="0" collapsed="false">
      <c r="A8" s="1" t="s">
        <v>41</v>
      </c>
      <c r="B8" s="1" t="s">
        <v>46</v>
      </c>
      <c r="C8" s="1" t="s">
        <v>44</v>
      </c>
      <c r="E8" s="1" t="n">
        <f aca="false">D8*1</f>
        <v>0</v>
      </c>
    </row>
    <row r="9" customFormat="false" ht="13.5" hidden="false" customHeight="true" outlineLevel="0" collapsed="false">
      <c r="A9" s="1" t="s">
        <v>48</v>
      </c>
      <c r="B9" s="1" t="s">
        <v>46</v>
      </c>
      <c r="C9" s="1" t="s">
        <v>49</v>
      </c>
      <c r="E9" s="1" t="n">
        <f aca="false">D9*0.52</f>
        <v>0</v>
      </c>
    </row>
    <row r="10" customFormat="false" ht="13.5" hidden="false" customHeight="true" outlineLevel="0" collapsed="false">
      <c r="A10" s="1" t="s">
        <v>48</v>
      </c>
      <c r="B10" s="1" t="s">
        <v>42</v>
      </c>
      <c r="C10" s="1" t="s">
        <v>49</v>
      </c>
      <c r="E10" s="1" t="n">
        <f aca="false">D10*0.52</f>
        <v>0</v>
      </c>
    </row>
    <row r="11" customFormat="false" ht="13.5" hidden="false" customHeight="true" outlineLevel="0" collapsed="false">
      <c r="A11" s="1" t="s">
        <v>50</v>
      </c>
      <c r="B11" s="1" t="s">
        <v>51</v>
      </c>
      <c r="E11" s="1" t="n">
        <f aca="false">D11*0.5</f>
        <v>0</v>
      </c>
    </row>
    <row r="12" customFormat="false" ht="13.5" hidden="false" customHeight="true" outlineLevel="0" collapsed="false">
      <c r="A12" s="1" t="s">
        <v>50</v>
      </c>
      <c r="B12" s="1" t="s">
        <v>44</v>
      </c>
      <c r="E12" s="1" t="n">
        <f aca="false">D12*1</f>
        <v>0</v>
      </c>
    </row>
    <row r="13" customFormat="false" ht="13.5" hidden="false" customHeight="true" outlineLevel="0" collapsed="false">
      <c r="A13" s="1" t="s">
        <v>50</v>
      </c>
      <c r="B13" s="1" t="s">
        <v>52</v>
      </c>
      <c r="E13" s="1" t="n">
        <f aca="false">D13*1.4</f>
        <v>0</v>
      </c>
    </row>
    <row r="14" customFormat="false" ht="13.5" hidden="false" customHeight="true" outlineLevel="0" collapsed="false">
      <c r="A14" s="1" t="s">
        <v>53</v>
      </c>
      <c r="B14" s="1" t="s">
        <v>54</v>
      </c>
      <c r="E14" s="1" t="n">
        <f aca="false">D14*0.3</f>
        <v>0</v>
      </c>
    </row>
    <row r="15" customFormat="false" ht="13.5" hidden="false" customHeight="true" outlineLevel="0" collapsed="false">
      <c r="A15" s="1" t="s">
        <v>53</v>
      </c>
      <c r="B15" s="1" t="s">
        <v>43</v>
      </c>
      <c r="E15" s="1" t="n">
        <f aca="false">D15*0.6</f>
        <v>0</v>
      </c>
    </row>
    <row r="16" customFormat="false" ht="13.5" hidden="false" customHeight="true" outlineLevel="0" collapsed="false">
      <c r="A16" s="1" t="s">
        <v>53</v>
      </c>
      <c r="B16" s="1" t="s">
        <v>44</v>
      </c>
      <c r="E16" s="1" t="n">
        <f aca="false">D16*1</f>
        <v>0</v>
      </c>
    </row>
    <row r="17" customFormat="false" ht="14.25" hidden="false" customHeight="true" outlineLevel="0" collapsed="false">
      <c r="A17" s="1" t="s">
        <v>55</v>
      </c>
      <c r="B17" s="1" t="s">
        <v>42</v>
      </c>
      <c r="C17" s="1" t="s">
        <v>49</v>
      </c>
      <c r="E17" s="1" t="n">
        <f aca="false">D17*0.52</f>
        <v>0</v>
      </c>
    </row>
    <row r="18" customFormat="false" ht="13.5" hidden="false" customHeight="true" outlineLevel="0" collapsed="false">
      <c r="A18" s="1" t="s">
        <v>55</v>
      </c>
      <c r="B18" s="1" t="s">
        <v>42</v>
      </c>
      <c r="C18" s="1" t="s">
        <v>44</v>
      </c>
      <c r="E18" s="1" t="n">
        <f aca="false">D18*1</f>
        <v>0</v>
      </c>
    </row>
    <row r="19" customFormat="false" ht="13.5" hidden="false" customHeight="true" outlineLevel="0" collapsed="false">
      <c r="A19" s="1" t="s">
        <v>55</v>
      </c>
      <c r="B19" s="1" t="s">
        <v>42</v>
      </c>
      <c r="C19" s="1" t="s">
        <v>45</v>
      </c>
      <c r="E19" s="1" t="n">
        <f aca="false">D19*1.5</f>
        <v>0</v>
      </c>
    </row>
    <row r="20" customFormat="false" ht="13.5" hidden="false" customHeight="true" outlineLevel="0" collapsed="false">
      <c r="A20" s="1" t="s">
        <v>55</v>
      </c>
      <c r="B20" s="1" t="s">
        <v>46</v>
      </c>
      <c r="C20" s="1" t="s">
        <v>49</v>
      </c>
      <c r="E20" s="1" t="n">
        <f aca="false">D20*0.52</f>
        <v>0</v>
      </c>
    </row>
    <row r="21" customFormat="false" ht="13.5" hidden="false" customHeight="true" outlineLevel="0" collapsed="false">
      <c r="A21" s="1" t="s">
        <v>55</v>
      </c>
      <c r="B21" s="1" t="s">
        <v>46</v>
      </c>
      <c r="C21" s="1" t="s">
        <v>47</v>
      </c>
      <c r="E21" s="1" t="n">
        <f aca="false">D21*0.8</f>
        <v>0</v>
      </c>
    </row>
    <row r="22" customFormat="false" ht="13.5" hidden="false" customHeight="true" outlineLevel="0" collapsed="false">
      <c r="A22" s="1" t="s">
        <v>55</v>
      </c>
      <c r="B22" s="1" t="s">
        <v>46</v>
      </c>
      <c r="C22" s="1" t="s">
        <v>44</v>
      </c>
      <c r="E22" s="1" t="n">
        <f aca="false">D22*1</f>
        <v>0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/>
    <row r="26" customFormat="false" ht="13.5" hidden="false" customHeight="true" outlineLevel="0" collapsed="false"/>
    <row r="27" customFormat="false" ht="13.5" hidden="false" customHeight="true" outlineLevel="0" collapsed="false"/>
    <row r="28" customFormat="false" ht="13.5" hidden="false" customHeight="true" outlineLevel="0" collapsed="false"/>
    <row r="29" customFormat="false" ht="13.5" hidden="false" customHeight="true" outlineLevel="0" collapsed="false"/>
    <row r="30" customFormat="false" ht="13.5" hidden="false" customHeight="true" outlineLevel="0" collapsed="false"/>
    <row r="31" customFormat="false" ht="13.5" hidden="false" customHeight="true" outlineLevel="0" collapsed="false"/>
    <row r="32" customFormat="false" ht="13.5" hidden="false" customHeight="true" outlineLevel="0" collapsed="false">
      <c r="M32" s="50"/>
      <c r="P32" s="50"/>
    </row>
    <row r="33" customFormat="false" ht="13.5" hidden="false" customHeight="true" outlineLevel="0" collapsed="false">
      <c r="M33" s="50"/>
      <c r="P33" s="50"/>
    </row>
    <row r="34" customFormat="false" ht="13.5" hidden="false" customHeight="true" outlineLevel="0" collapsed="false">
      <c r="M34" s="50"/>
      <c r="P34" s="50"/>
    </row>
    <row r="35" customFormat="false" ht="13.5" hidden="false" customHeight="true" outlineLevel="0" collapsed="false">
      <c r="M35" s="50"/>
      <c r="P35" s="50"/>
    </row>
    <row r="36" customFormat="false" ht="13.5" hidden="false" customHeight="true" outlineLevel="0" collapsed="false">
      <c r="M36" s="50"/>
      <c r="P36" s="50"/>
    </row>
    <row r="37" customFormat="false" ht="13.5" hidden="false" customHeight="true" outlineLevel="0" collapsed="false">
      <c r="J37" s="49"/>
    </row>
    <row r="38" customFormat="false" ht="13.5" hidden="false" customHeight="tru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1" activeCellId="1" sqref="D9:D22 I11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56</v>
      </c>
      <c r="C1" s="1" t="s">
        <v>57</v>
      </c>
      <c r="D1" s="1" t="s">
        <v>1</v>
      </c>
      <c r="E1" s="1" t="s">
        <v>2</v>
      </c>
      <c r="G1" s="1" t="s">
        <v>58</v>
      </c>
      <c r="H1" s="1" t="s">
        <v>59</v>
      </c>
      <c r="I1" s="63" t="s">
        <v>60</v>
      </c>
      <c r="K1" s="1" t="s">
        <v>61</v>
      </c>
      <c r="L1" s="1" t="s">
        <v>62</v>
      </c>
      <c r="Q1" s="1" t="n">
        <f aca="false">685*I2/650</f>
        <v>0</v>
      </c>
      <c r="T1" s="63" t="s">
        <v>56</v>
      </c>
      <c r="U1" s="63" t="s">
        <v>2</v>
      </c>
    </row>
    <row r="2" customFormat="false" ht="14.25" hidden="false" customHeight="true" outlineLevel="0" collapsed="false">
      <c r="A2" s="1" t="s">
        <v>3</v>
      </c>
      <c r="B2" s="64" t="n">
        <f aca="false">SUM(cp_recap!E17:E22)*1000+(I2*1.03-I6-I7)+cp_cmd!W13*214</f>
        <v>214</v>
      </c>
      <c r="C2" s="64" t="n">
        <f aca="false">SUM(cp_recap!E14:E16)*1000</f>
        <v>0</v>
      </c>
      <c r="E2" s="64" t="n">
        <f aca="false">SUM(cp_recap!E3:E8)*1000+cp_cmd!W12*212</f>
        <v>212</v>
      </c>
      <c r="G2" s="1" t="n">
        <f aca="false">SUM(cp_recap!E9:E10)*1000</f>
        <v>0</v>
      </c>
      <c r="H2" s="1" t="n">
        <f aca="false">G2+B2</f>
        <v>214</v>
      </c>
      <c r="I2" s="63" t="n">
        <f aca="false">SUM(cp_recap!E9:E10)*1000</f>
        <v>0</v>
      </c>
      <c r="K2" s="64" t="n">
        <f aca="false">(SUM(cp_recap!E11:E13)*1000)</f>
        <v>0</v>
      </c>
      <c r="L2" s="1" t="n">
        <f aca="false">cp_recap!D20*1000</f>
        <v>0</v>
      </c>
      <c r="N2" s="1" t="s">
        <v>63</v>
      </c>
      <c r="O2" s="1" t="n">
        <f aca="false">B2+C2+E2+I6+K2</f>
        <v>426</v>
      </c>
      <c r="T2" s="63" t="n">
        <f aca="false">(4350-60)*1.025-50</f>
        <v>4347.25</v>
      </c>
      <c r="U2" s="63" t="n">
        <f aca="false">3400</f>
        <v>3400</v>
      </c>
      <c r="W2" s="1" t="n">
        <f aca="false">U5+U6+U8/2</f>
        <v>2509.5</v>
      </c>
    </row>
    <row r="3" customFormat="false" ht="14.25" hidden="false" customHeight="true" outlineLevel="0" collapsed="false">
      <c r="B3" s="65"/>
      <c r="C3" s="65"/>
      <c r="D3" s="65"/>
      <c r="E3" s="65"/>
      <c r="F3" s="65"/>
      <c r="G3" s="65"/>
      <c r="H3" s="65"/>
      <c r="I3" s="63"/>
      <c r="K3" s="65"/>
      <c r="L3" s="65"/>
      <c r="N3" s="1" t="s">
        <v>64</v>
      </c>
      <c r="O3" s="1" t="n">
        <f aca="false">SUM(cp_recap!E3:E22)*1000</f>
        <v>0</v>
      </c>
      <c r="T3" s="66"/>
      <c r="U3" s="66"/>
      <c r="W3" s="1" t="n">
        <f aca="false">W4*0.2</f>
        <v>501.9</v>
      </c>
      <c r="X3" s="1" t="n">
        <f aca="false">W3-U8/2</f>
        <v>492.4</v>
      </c>
    </row>
    <row r="4" customFormat="false" ht="14.25" hidden="false" customHeight="true" outlineLevel="0" collapsed="false">
      <c r="I4" s="63"/>
      <c r="L4" s="65"/>
      <c r="R4" s="1" t="n">
        <f aca="false">S4-T8/2</f>
        <v>3236</v>
      </c>
      <c r="S4" s="1" t="n">
        <f aca="false">T6+T8/2</f>
        <v>3248</v>
      </c>
      <c r="T4" s="66"/>
      <c r="U4" s="66"/>
      <c r="W4" s="67" t="n">
        <f aca="false">U5+U6+U8/2</f>
        <v>2509.5</v>
      </c>
    </row>
    <row r="5" customFormat="false" ht="14.25" hidden="false" customHeight="true" outlineLevel="0" collapsed="false">
      <c r="A5" s="1" t="s">
        <v>65</v>
      </c>
      <c r="B5" s="65"/>
      <c r="C5" s="65" t="n">
        <f aca="false">$C4/I$19*I$20</f>
        <v>0</v>
      </c>
      <c r="D5" s="65" t="n">
        <f aca="false">$D4/J$19*J$20</f>
        <v>0</v>
      </c>
      <c r="E5" s="65" t="n">
        <f aca="false">$E$2/$U$2*U5</f>
        <v>30.6776470588235</v>
      </c>
      <c r="G5" s="65" t="n">
        <f aca="false">$G2/L$19*L$22</f>
        <v>0</v>
      </c>
      <c r="H5" s="65" t="n">
        <f aca="false">G5+B5</f>
        <v>0</v>
      </c>
      <c r="I5" s="68" t="n">
        <f aca="false">693*I2/665+0.03*I2</f>
        <v>0</v>
      </c>
      <c r="J5" s="63" t="s">
        <v>66</v>
      </c>
      <c r="L5" s="65" t="n">
        <f aca="false">$L$2/$P$19*P22</f>
        <v>0</v>
      </c>
      <c r="T5" s="66"/>
      <c r="U5" s="63" t="n">
        <v>492</v>
      </c>
      <c r="W5" s="1" t="n">
        <f aca="false">W4-X3-U8/2</f>
        <v>2007.6</v>
      </c>
    </row>
    <row r="6" customFormat="false" ht="14.25" hidden="false" customHeight="true" outlineLevel="0" collapsed="false">
      <c r="A6" s="1" t="s">
        <v>67</v>
      </c>
      <c r="B6" s="65" t="n">
        <f aca="false">$B$2/$T$2*T6</f>
        <v>159.297026856058</v>
      </c>
      <c r="C6" s="65" t="n">
        <f aca="false">$C$2/I$19*I$23</f>
        <v>0</v>
      </c>
      <c r="D6" s="65" t="n">
        <f aca="false">D$2/J$19*J$23</f>
        <v>0</v>
      </c>
      <c r="E6" s="65" t="n">
        <f aca="false">$E$2/$U$2*U6</f>
        <v>125.204705882353</v>
      </c>
      <c r="F6" s="65"/>
      <c r="G6" s="65" t="n">
        <f aca="false">G$2/L$19*L$23</f>
        <v>0</v>
      </c>
      <c r="H6" s="65" t="n">
        <f aca="false">G6+B6</f>
        <v>159.297026856058</v>
      </c>
      <c r="I6" s="63" t="n">
        <f aca="false">0.07*I2</f>
        <v>0</v>
      </c>
      <c r="J6" s="63" t="s">
        <v>68</v>
      </c>
      <c r="K6" s="65" t="n">
        <f aca="false">$K$2/$O$19*O23</f>
        <v>0</v>
      </c>
      <c r="L6" s="65" t="n">
        <f aca="false">$L$2/$P$19*P23</f>
        <v>0</v>
      </c>
      <c r="T6" s="63" t="n">
        <f aca="false">3195+12+12+17</f>
        <v>3236</v>
      </c>
      <c r="U6" s="63" t="n">
        <v>2008</v>
      </c>
    </row>
    <row r="7" customFormat="false" ht="14.25" hidden="false" customHeight="true" outlineLevel="0" collapsed="false">
      <c r="A7" s="1" t="s">
        <v>6</v>
      </c>
      <c r="B7" s="65" t="n">
        <f aca="false">$B$2/$T$2*T7</f>
        <v>88.9523261832193</v>
      </c>
      <c r="C7" s="65" t="n">
        <f aca="false">$C$2/I$19*I$24</f>
        <v>0</v>
      </c>
      <c r="D7" s="65" t="n">
        <f aca="false">D$2/J$19*J$24</f>
        <v>0</v>
      </c>
      <c r="E7" s="65" t="n">
        <f aca="false">$E$2/$U$2*U7</f>
        <v>93.3423529411765</v>
      </c>
      <c r="F7" s="65"/>
      <c r="G7" s="65" t="n">
        <f aca="false">G$2/L$19*L$24</f>
        <v>0</v>
      </c>
      <c r="H7" s="65" t="n">
        <f aca="false">B7+G7-I7</f>
        <v>88.9523261832193</v>
      </c>
      <c r="I7" s="68" t="n">
        <f aca="false">ROUND(7*I2/650+0.007*I5,0)</f>
        <v>0</v>
      </c>
      <c r="J7" s="63" t="s">
        <v>6</v>
      </c>
      <c r="K7" s="65" t="n">
        <f aca="false">$K$2/$O$19*O24</f>
        <v>0</v>
      </c>
      <c r="L7" s="65" t="n">
        <f aca="false">$L$2/$P$19*P24</f>
        <v>0</v>
      </c>
      <c r="S7" s="50" t="n">
        <f aca="false">(T7+T8/2)/(T6+T8/2)</f>
        <v>0.560036945812808</v>
      </c>
      <c r="T7" s="63" t="n">
        <f aca="false">1751+32+53-12-17</f>
        <v>1807</v>
      </c>
      <c r="U7" s="63" t="n">
        <f aca="false">1405+2+52+24+4+4+6</f>
        <v>1497</v>
      </c>
      <c r="V7" s="50" t="n">
        <f aca="false">(U7+U8/2)/(U6+U5+U8/2)</f>
        <v>0.600318788603308</v>
      </c>
      <c r="Y7" s="50" t="n">
        <f aca="false">S7+S7*15%*10%</f>
        <v>0.5684375</v>
      </c>
    </row>
    <row r="8" customFormat="false" ht="14.25" hidden="false" customHeight="true" outlineLevel="0" collapsed="false">
      <c r="A8" s="1" t="s">
        <v>69</v>
      </c>
      <c r="B8" s="65" t="n">
        <f aca="false">$B$2/$T$2*T8</f>
        <v>1.1814365403416</v>
      </c>
      <c r="C8" s="69" t="n">
        <f aca="false">$C$2/I$19*I25</f>
        <v>0</v>
      </c>
      <c r="D8" s="69" t="n">
        <f aca="false">D$2/J$19*J25</f>
        <v>0</v>
      </c>
      <c r="E8" s="65" t="n">
        <f aca="false">$E$2/$U$2*U8</f>
        <v>1.18470588235294</v>
      </c>
      <c r="F8" s="65"/>
      <c r="G8" s="69" t="n">
        <f aca="false">G$2/L$19*L25</f>
        <v>0</v>
      </c>
      <c r="H8" s="65" t="n">
        <f aca="false">G8+B8</f>
        <v>1.1814365403416</v>
      </c>
      <c r="I8" s="63"/>
      <c r="K8" s="69" t="n">
        <f aca="false">$K$2/$O$19*O25</f>
        <v>0</v>
      </c>
      <c r="L8" s="65" t="n">
        <f aca="false">$L$2/$P$19*P25</f>
        <v>0</v>
      </c>
      <c r="S8" s="50" t="n">
        <f aca="false">T8/T6</f>
        <v>0.00741656365883807</v>
      </c>
      <c r="T8" s="63" t="n">
        <v>24</v>
      </c>
      <c r="U8" s="63" t="n">
        <v>19</v>
      </c>
      <c r="V8" s="50" t="n">
        <f aca="false">U8/(U6+U5)</f>
        <v>0.0076</v>
      </c>
    </row>
    <row r="9" customFormat="false" ht="14.25" hidden="false" customHeight="true" outlineLevel="0" collapsed="false">
      <c r="A9" s="1" t="s">
        <v>9</v>
      </c>
      <c r="B9" s="65" t="n">
        <f aca="false">$B$2/$T$2*T9</f>
        <v>2.70804945655299</v>
      </c>
      <c r="C9" s="69" t="n">
        <f aca="false">$C$2/I$19*I26</f>
        <v>0</v>
      </c>
      <c r="D9" s="69" t="n">
        <f aca="false">D$2/J$19*J26</f>
        <v>0</v>
      </c>
      <c r="E9" s="65" t="n">
        <f aca="false">$E$2/$U$2*U9</f>
        <v>2.65</v>
      </c>
      <c r="F9" s="65"/>
      <c r="G9" s="69" t="n">
        <f aca="false">G$2/L$19*L26</f>
        <v>0</v>
      </c>
      <c r="H9" s="65" t="n">
        <f aca="false">G9+B9</f>
        <v>2.70804945655299</v>
      </c>
      <c r="I9" s="63"/>
      <c r="K9" s="65" t="n">
        <f aca="false">$K$2/$O$19*O26</f>
        <v>0</v>
      </c>
      <c r="L9" s="65" t="n">
        <f aca="false">$L$2/$P$19*P26</f>
        <v>0</v>
      </c>
      <c r="T9" s="63" t="n">
        <f aca="false">17/1000*T6</f>
        <v>55.012</v>
      </c>
      <c r="U9" s="63" t="n">
        <f aca="false">17/1000*(U5+U6)</f>
        <v>42.5</v>
      </c>
    </row>
    <row r="10" customFormat="false" ht="14.25" hidden="false" customHeight="true" outlineLevel="0" collapsed="false">
      <c r="B10" s="65"/>
      <c r="C10" s="70" t="s">
        <v>68</v>
      </c>
      <c r="D10" s="65" t="n">
        <f aca="false">D$2/J$19*J27</f>
        <v>0</v>
      </c>
      <c r="E10" s="65"/>
      <c r="F10" s="65"/>
      <c r="G10" s="65" t="n">
        <f aca="false">G$2/L$19*L27</f>
        <v>0</v>
      </c>
      <c r="H10" s="1" t="s">
        <v>68</v>
      </c>
      <c r="I10" s="68"/>
      <c r="J10" s="1" t="s">
        <v>70</v>
      </c>
      <c r="K10" s="65" t="n">
        <f aca="false">$K$2/$O$19*O28</f>
        <v>0</v>
      </c>
      <c r="L10" s="65" t="n">
        <f aca="false">$L$2/$P$19*P27</f>
        <v>0</v>
      </c>
      <c r="M10" s="1" t="s">
        <v>68</v>
      </c>
      <c r="T10" s="66"/>
      <c r="U10" s="66"/>
    </row>
    <row r="11" customFormat="false" ht="14.25" hidden="false" customHeight="true" outlineLevel="0" collapsed="false">
      <c r="A11" s="1" t="s">
        <v>71</v>
      </c>
      <c r="B11" s="71" t="n">
        <f aca="false">(B7)/(B5+B6)</f>
        <v>0.55840543881335</v>
      </c>
      <c r="D11" s="70" t="s">
        <v>72</v>
      </c>
      <c r="E11" s="65"/>
      <c r="F11" s="65"/>
      <c r="I11" s="63" t="n">
        <f aca="false">(B7+B8/2+I7)/(B5+B6+B8/2)</f>
        <v>0.560036945812808</v>
      </c>
      <c r="J11" s="1" t="s">
        <v>73</v>
      </c>
      <c r="K11" s="65" t="n">
        <f aca="false">$K$2/$O$19*O30</f>
        <v>0</v>
      </c>
      <c r="T11" s="66"/>
      <c r="U11" s="66"/>
      <c r="W11" s="1" t="n">
        <f aca="false">48/3183*1000</f>
        <v>15.0801131008483</v>
      </c>
    </row>
    <row r="12" customFormat="false" ht="14.25" hidden="false" customHeight="true" outlineLevel="0" collapsed="false">
      <c r="D12" s="70" t="s">
        <v>74</v>
      </c>
      <c r="E12" s="65"/>
      <c r="F12" s="65"/>
      <c r="I12" s="63"/>
      <c r="J12" s="1" t="s">
        <v>75</v>
      </c>
      <c r="K12" s="65" t="n">
        <f aca="false">$K$2/$O$19*O31</f>
        <v>0</v>
      </c>
      <c r="T12" s="66"/>
      <c r="U12" s="66"/>
    </row>
    <row r="13" customFormat="false" ht="14.25" hidden="false" customHeight="true" outlineLevel="0" collapsed="false">
      <c r="D13" s="70" t="s">
        <v>73</v>
      </c>
      <c r="E13" s="65"/>
      <c r="F13" s="65"/>
      <c r="I13" s="63"/>
      <c r="T13" s="66"/>
      <c r="U13" s="66"/>
    </row>
    <row r="14" customFormat="false" ht="14.25" hidden="false" customHeight="true" outlineLevel="0" collapsed="false">
      <c r="D14" s="70" t="s">
        <v>76</v>
      </c>
      <c r="E14" s="65"/>
      <c r="F14" s="65"/>
      <c r="I14" s="63"/>
      <c r="T14" s="66"/>
      <c r="U14" s="66"/>
    </row>
    <row r="15" customFormat="false" ht="14.25" hidden="false" customHeight="true" outlineLevel="0" collapsed="false">
      <c r="A15" s="1" t="s">
        <v>77</v>
      </c>
      <c r="B15" s="65" t="n">
        <f aca="false">SUM(B5:B9)</f>
        <v>252.138839036172</v>
      </c>
      <c r="C15" s="65" t="n">
        <f aca="false">SUM(C5:C14)</f>
        <v>0</v>
      </c>
      <c r="D15" s="65" t="n">
        <f aca="false">SUM(D5:D14)</f>
        <v>0</v>
      </c>
      <c r="E15" s="65" t="n">
        <f aca="false">SUM(E5:E14)</f>
        <v>253.059411764706</v>
      </c>
      <c r="F15" s="65"/>
      <c r="G15" s="65" t="n">
        <f aca="false">SUM(G5:G14)</f>
        <v>0</v>
      </c>
      <c r="H15" s="72"/>
      <c r="I15" s="68" t="n">
        <f aca="false">SUM(I4:I7)</f>
        <v>0</v>
      </c>
      <c r="K15" s="65" t="n">
        <f aca="false">SUM(K5:K14)</f>
        <v>0</v>
      </c>
      <c r="L15" s="65" t="n">
        <f aca="false">SUM(L4:L14)</f>
        <v>0</v>
      </c>
      <c r="M15" s="73" t="s">
        <v>78</v>
      </c>
      <c r="S15" s="65" t="n">
        <v>5121.315</v>
      </c>
      <c r="T15" s="74" t="n">
        <f aca="false">SUM(T6:T11)</f>
        <v>5122.012</v>
      </c>
      <c r="U15" s="74" t="n">
        <f aca="false">SUM(U4:U11)</f>
        <v>4058.5</v>
      </c>
      <c r="V15" s="65" t="n">
        <v>4058.483</v>
      </c>
    </row>
    <row r="16" customFormat="false" ht="14.25" hidden="false" customHeight="true" outlineLevel="0" collapsed="false">
      <c r="A16" s="1" t="s">
        <v>79</v>
      </c>
      <c r="B16" s="65" t="n">
        <f aca="false">B6*0.5</f>
        <v>79.6485134280292</v>
      </c>
      <c r="H16" s="65" t="n">
        <f aca="false">H6*0.5</f>
        <v>79.6485134280292</v>
      </c>
    </row>
    <row r="17" customFormat="false" ht="14.25" hidden="false" customHeight="true" outlineLevel="0" collapsed="false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</row>
    <row r="18" customFormat="false" ht="14.25" hidden="false" customHeight="true" outlineLevel="0" collapsed="false">
      <c r="A18" s="1" t="s">
        <v>80</v>
      </c>
      <c r="C18" s="1" t="s">
        <v>81</v>
      </c>
      <c r="D18" s="75" t="s">
        <v>82</v>
      </c>
      <c r="E18" s="1" t="s">
        <v>83</v>
      </c>
      <c r="G18" s="1" t="s">
        <v>84</v>
      </c>
      <c r="H18" s="1" t="s">
        <v>85</v>
      </c>
      <c r="I18" s="63" t="s">
        <v>86</v>
      </c>
      <c r="J18" s="75" t="s">
        <v>87</v>
      </c>
      <c r="K18" s="1" t="s">
        <v>88</v>
      </c>
      <c r="L18" s="75" t="s">
        <v>89</v>
      </c>
      <c r="M18" s="1" t="s">
        <v>90</v>
      </c>
      <c r="N18" s="1" t="s">
        <v>91</v>
      </c>
      <c r="O18" s="63" t="s">
        <v>61</v>
      </c>
      <c r="P18" s="1" t="s">
        <v>92</v>
      </c>
      <c r="S18" s="1" t="s">
        <v>93</v>
      </c>
      <c r="V18" s="1" t="s">
        <v>94</v>
      </c>
    </row>
    <row r="19" customFormat="false" ht="14.25" hidden="false" customHeight="true" outlineLevel="0" collapsed="false">
      <c r="A19" s="1" t="s">
        <v>95</v>
      </c>
      <c r="B19" s="1" t="n">
        <v>2090</v>
      </c>
      <c r="C19" s="65" t="n">
        <f aca="false">2090+238</f>
        <v>2328</v>
      </c>
      <c r="D19" s="75" t="n">
        <v>7450</v>
      </c>
      <c r="E19" s="65" t="n">
        <f aca="false">1000/0.64</f>
        <v>1562.5</v>
      </c>
      <c r="F19" s="65"/>
      <c r="G19" s="65" t="n">
        <f aca="false">1000/0.64</f>
        <v>1562.5</v>
      </c>
      <c r="H19" s="65" t="n">
        <f aca="false">1000/0.64</f>
        <v>1562.5</v>
      </c>
      <c r="I19" s="63" t="n">
        <f aca="false">1896*1.02+35</f>
        <v>1968.92</v>
      </c>
      <c r="J19" s="76" t="n">
        <v>2090</v>
      </c>
      <c r="K19" s="65" t="n">
        <v>1700</v>
      </c>
      <c r="L19" s="76" t="n">
        <f aca="false">2090+238+40</f>
        <v>2368</v>
      </c>
      <c r="M19" s="65" t="n">
        <v>1533</v>
      </c>
      <c r="N19" s="1" t="n">
        <f aca="false">15*250</f>
        <v>3750</v>
      </c>
      <c r="O19" s="68" t="n">
        <f aca="false">(960*1.03+30)*(1+0.025)-15+30-17-5-10</f>
        <v>1027.27</v>
      </c>
      <c r="P19" s="1" t="n">
        <v>760</v>
      </c>
      <c r="S19" s="1" t="s">
        <v>96</v>
      </c>
      <c r="T19" s="1" t="n">
        <v>500</v>
      </c>
      <c r="V19" s="1" t="n">
        <v>500</v>
      </c>
    </row>
    <row r="20" customFormat="false" ht="14.25" hidden="false" customHeight="true" outlineLevel="0" collapsed="false">
      <c r="A20" s="1" t="s">
        <v>97</v>
      </c>
      <c r="B20" s="65" t="n">
        <f aca="false">$B$19/$C$19*C20</f>
        <v>1194.02920962199</v>
      </c>
      <c r="C20" s="65" t="n">
        <v>1330</v>
      </c>
      <c r="D20" s="76" t="n">
        <f aca="false">D22+D23</f>
        <v>4930.8</v>
      </c>
      <c r="E20" s="65" t="n">
        <f aca="false">E22+E23</f>
        <v>1000</v>
      </c>
      <c r="F20" s="65"/>
      <c r="G20" s="65" t="n">
        <f aca="false">G22+G23</f>
        <v>1000</v>
      </c>
      <c r="H20" s="65" t="n">
        <f aca="false">H22+H23</f>
        <v>1000</v>
      </c>
      <c r="I20" s="68" t="n">
        <f aca="false">I22+I23</f>
        <v>1372</v>
      </c>
      <c r="J20" s="76" t="n">
        <v>1260</v>
      </c>
      <c r="K20" s="65" t="n">
        <v>1260</v>
      </c>
      <c r="L20" s="76" t="n">
        <v>1330</v>
      </c>
      <c r="M20" s="65" t="n">
        <v>1000</v>
      </c>
      <c r="N20" s="1" t="n">
        <v>2400</v>
      </c>
      <c r="O20" s="63" t="n">
        <f aca="false">O23</f>
        <v>699.3</v>
      </c>
      <c r="P20" s="1" t="n">
        <f aca="false">SUM(P21:P23)</f>
        <v>363</v>
      </c>
      <c r="S20" s="1" t="s">
        <v>98</v>
      </c>
      <c r="T20" s="1" t="n">
        <v>1000</v>
      </c>
    </row>
    <row r="21" customFormat="false" ht="14.25" hidden="false" customHeight="true" outlineLevel="0" collapsed="false">
      <c r="A21" s="1" t="s">
        <v>99</v>
      </c>
      <c r="B21" s="65"/>
      <c r="C21" s="65"/>
      <c r="D21" s="76"/>
      <c r="E21" s="65"/>
      <c r="F21" s="65"/>
      <c r="G21" s="65"/>
      <c r="H21" s="65"/>
      <c r="I21" s="68"/>
      <c r="J21" s="77"/>
      <c r="K21" s="78"/>
      <c r="L21" s="77"/>
      <c r="M21" s="65"/>
      <c r="N21" s="65"/>
      <c r="O21" s="63"/>
      <c r="P21" s="1" t="n">
        <v>110</v>
      </c>
      <c r="Q21" s="1" t="s">
        <v>99</v>
      </c>
      <c r="S21" s="1" t="s">
        <v>100</v>
      </c>
      <c r="T21" s="1" t="n">
        <v>3</v>
      </c>
      <c r="W21" s="1"/>
    </row>
    <row r="22" customFormat="false" ht="14.25" hidden="false" customHeight="true" outlineLevel="0" collapsed="false">
      <c r="A22" s="1" t="s">
        <v>65</v>
      </c>
      <c r="B22" s="65" t="n">
        <f aca="false">$B$19/$C$19*C22</f>
        <v>42.1950171821306</v>
      </c>
      <c r="C22" s="65" t="n">
        <v>47</v>
      </c>
      <c r="D22" s="76" t="n">
        <f aca="false">167+22</f>
        <v>189</v>
      </c>
      <c r="E22" s="65" t="n">
        <v>20</v>
      </c>
      <c r="F22" s="65"/>
      <c r="G22" s="65" t="n">
        <v>20</v>
      </c>
      <c r="H22" s="65" t="n">
        <v>20</v>
      </c>
      <c r="I22" s="68"/>
      <c r="J22" s="76"/>
      <c r="K22" s="65" t="n">
        <v>184</v>
      </c>
      <c r="L22" s="76" t="n">
        <v>47</v>
      </c>
      <c r="M22" s="65"/>
      <c r="N22" s="65"/>
      <c r="O22" s="63"/>
      <c r="P22" s="1" t="n">
        <v>110</v>
      </c>
      <c r="S22" s="1" t="s">
        <v>72</v>
      </c>
      <c r="T22" s="1" t="n">
        <v>50</v>
      </c>
      <c r="W22" s="1"/>
    </row>
    <row r="23" customFormat="false" ht="14.25" hidden="false" customHeight="true" outlineLevel="0" collapsed="false">
      <c r="A23" s="1" t="s">
        <v>67</v>
      </c>
      <c r="B23" s="65" t="n">
        <f aca="false">$B$19/$C$19*C23</f>
        <v>1150.93642611684</v>
      </c>
      <c r="C23" s="65" t="n">
        <v>1282</v>
      </c>
      <c r="D23" s="76" t="n">
        <f aca="false">4516*1.05</f>
        <v>4741.8</v>
      </c>
      <c r="E23" s="65" t="n">
        <v>980</v>
      </c>
      <c r="F23" s="65"/>
      <c r="G23" s="65" t="n">
        <v>980</v>
      </c>
      <c r="H23" s="65" t="n">
        <v>980</v>
      </c>
      <c r="I23" s="68" t="n">
        <f aca="false">1335+30+7</f>
        <v>1372</v>
      </c>
      <c r="J23" s="76" t="n">
        <v>1260</v>
      </c>
      <c r="K23" s="65" t="n">
        <v>1077</v>
      </c>
      <c r="L23" s="76" t="n">
        <v>1282</v>
      </c>
      <c r="M23" s="65" t="n">
        <v>1000</v>
      </c>
      <c r="N23" s="1" t="n">
        <v>2400</v>
      </c>
      <c r="O23" s="63" t="n">
        <f aca="false">(646+20)*1.05</f>
        <v>699.3</v>
      </c>
      <c r="P23" s="1" t="n">
        <v>143</v>
      </c>
      <c r="S23" s="1" t="s">
        <v>6</v>
      </c>
      <c r="V23" s="1" t="n">
        <v>1000</v>
      </c>
    </row>
    <row r="24" customFormat="false" ht="14.25" hidden="false" customHeight="true" outlineLevel="0" collapsed="false">
      <c r="A24" s="1" t="s">
        <v>6</v>
      </c>
      <c r="B24" s="65" t="n">
        <f aca="false">$B$19/$C$19*C24</f>
        <v>861.855670103093</v>
      </c>
      <c r="C24" s="65" t="n">
        <f aca="false">863+97</f>
        <v>960</v>
      </c>
      <c r="D24" s="76" t="n">
        <f aca="false">3040</f>
        <v>3040</v>
      </c>
      <c r="E24" s="65" t="n">
        <v>573</v>
      </c>
      <c r="F24" s="65"/>
      <c r="G24" s="65" t="n">
        <v>650</v>
      </c>
      <c r="H24" s="65" t="n">
        <v>610</v>
      </c>
      <c r="I24" s="79" t="n">
        <f aca="false">865*1.05+10+7</f>
        <v>925.25</v>
      </c>
      <c r="J24" s="76" t="n">
        <f aca="false">817*1+3*25</f>
        <v>892</v>
      </c>
      <c r="K24" s="65" t="n">
        <f aca="false">817*1</f>
        <v>817</v>
      </c>
      <c r="L24" s="76" t="n">
        <v>960</v>
      </c>
      <c r="M24" s="65" t="n">
        <v>520</v>
      </c>
      <c r="N24" s="1" t="n">
        <f aca="false">440*3</f>
        <v>1320</v>
      </c>
      <c r="O24" s="68" t="n">
        <f aca="false">157*1.05+0.2*O30+7+5-4-4</f>
        <v>177.45</v>
      </c>
      <c r="P24" s="1" t="n">
        <v>333</v>
      </c>
      <c r="S24" s="1" t="s">
        <v>9</v>
      </c>
      <c r="V24" s="1" t="n">
        <v>7</v>
      </c>
    </row>
    <row r="25" customFormat="false" ht="14.25" hidden="false" customHeight="true" outlineLevel="0" collapsed="false">
      <c r="A25" s="1" t="s">
        <v>7</v>
      </c>
      <c r="B25" s="69" t="n">
        <f aca="false">$B$19/$C$19*C25</f>
        <v>267.534364261168</v>
      </c>
      <c r="C25" s="65" t="n">
        <v>298</v>
      </c>
      <c r="D25" s="76" t="n">
        <v>1050</v>
      </c>
      <c r="E25" s="65" t="n">
        <v>260</v>
      </c>
      <c r="F25" s="65"/>
      <c r="G25" s="65" t="n">
        <v>260</v>
      </c>
      <c r="H25" s="65" t="n">
        <v>260</v>
      </c>
      <c r="I25" s="68" t="n">
        <v>10.3</v>
      </c>
      <c r="J25" s="80" t="n">
        <v>10</v>
      </c>
      <c r="K25" s="69" t="n">
        <v>10</v>
      </c>
      <c r="L25" s="80" t="n">
        <v>298</v>
      </c>
      <c r="M25" s="69" t="n">
        <v>12</v>
      </c>
      <c r="N25" s="1" t="n">
        <v>30</v>
      </c>
      <c r="O25" s="79" t="n">
        <f aca="false">O23/1000*1.25</f>
        <v>0.874125</v>
      </c>
      <c r="P25" s="1" t="n">
        <v>3</v>
      </c>
    </row>
    <row r="26" customFormat="false" ht="14.25" hidden="false" customHeight="true" outlineLevel="0" collapsed="false">
      <c r="A26" s="1" t="s">
        <v>9</v>
      </c>
      <c r="B26" s="65" t="n">
        <f aca="false">$B$19/$C$19*C26</f>
        <v>21.4566151202749</v>
      </c>
      <c r="C26" s="65" t="n">
        <v>23.9</v>
      </c>
      <c r="D26" s="76" t="n">
        <v>84</v>
      </c>
      <c r="E26" s="65" t="n">
        <v>18.25</v>
      </c>
      <c r="F26" s="65"/>
      <c r="G26" s="65" t="n">
        <v>18.25</v>
      </c>
      <c r="H26" s="65" t="n">
        <v>18.25</v>
      </c>
      <c r="I26" s="68" t="n">
        <f aca="false">(I23+I22)/1000*14</f>
        <v>19.208</v>
      </c>
      <c r="J26" s="80" t="n">
        <f aca="false">(J23+J22)/1000*14</f>
        <v>17.64</v>
      </c>
      <c r="K26" s="69" t="n">
        <f aca="false">(K23+K22)/1000*14</f>
        <v>17.654</v>
      </c>
      <c r="L26" s="80" t="n">
        <v>23.9</v>
      </c>
      <c r="M26" s="65" t="n">
        <v>18</v>
      </c>
      <c r="N26" s="1" t="n">
        <v>36</v>
      </c>
      <c r="O26" s="63" t="n">
        <v>12</v>
      </c>
      <c r="P26" s="1" t="n">
        <v>6</v>
      </c>
      <c r="S26" s="81"/>
      <c r="T26" s="81"/>
      <c r="U26" s="81"/>
    </row>
    <row r="27" customFormat="false" ht="14.25" hidden="false" customHeight="true" outlineLevel="0" collapsed="false">
      <c r="A27" s="1" t="s">
        <v>68</v>
      </c>
      <c r="B27" s="65" t="n">
        <f aca="false">$B$19/$C$19*C27</f>
        <v>213.668384879725</v>
      </c>
      <c r="C27" s="1" t="n">
        <v>238</v>
      </c>
      <c r="D27" s="75"/>
      <c r="I27" s="63"/>
      <c r="J27" s="75" t="n">
        <v>238</v>
      </c>
      <c r="L27" s="75" t="n">
        <v>238</v>
      </c>
      <c r="O27" s="63"/>
      <c r="P27" s="1" t="n">
        <f aca="false">90*1.25</f>
        <v>112.5</v>
      </c>
      <c r="S27" s="81"/>
      <c r="T27" s="81"/>
      <c r="U27" s="81"/>
    </row>
    <row r="28" customFormat="false" ht="14.25" hidden="false" customHeight="true" outlineLevel="0" collapsed="false">
      <c r="A28" s="1" t="s">
        <v>72</v>
      </c>
      <c r="B28" s="65"/>
      <c r="D28" s="75"/>
      <c r="I28" s="63"/>
      <c r="J28" s="75"/>
      <c r="L28" s="75"/>
      <c r="M28" s="1" t="n">
        <v>50</v>
      </c>
      <c r="O28" s="63" t="n">
        <f aca="false">43</f>
        <v>43</v>
      </c>
      <c r="S28" s="81"/>
      <c r="T28" s="81"/>
      <c r="U28" s="81"/>
    </row>
    <row r="29" customFormat="false" ht="14.25" hidden="false" customHeight="true" outlineLevel="0" collapsed="false">
      <c r="A29" s="1" t="s">
        <v>74</v>
      </c>
      <c r="B29" s="65"/>
      <c r="D29" s="75"/>
      <c r="I29" s="63"/>
      <c r="J29" s="75"/>
      <c r="L29" s="75"/>
      <c r="M29" s="1" t="n">
        <v>40</v>
      </c>
      <c r="O29" s="63"/>
      <c r="S29" s="81"/>
      <c r="T29" s="81"/>
      <c r="U29" s="81"/>
    </row>
    <row r="30" customFormat="false" ht="14.25" hidden="false" customHeight="true" outlineLevel="0" collapsed="false">
      <c r="A30" s="1" t="s">
        <v>73</v>
      </c>
      <c r="B30" s="65"/>
      <c r="D30" s="75"/>
      <c r="I30" s="63"/>
      <c r="J30" s="75"/>
      <c r="L30" s="75"/>
      <c r="M30" s="1" t="n">
        <v>30</v>
      </c>
      <c r="N30" s="1" t="n">
        <v>77</v>
      </c>
      <c r="O30" s="63" t="n">
        <v>43</v>
      </c>
      <c r="S30" s="81"/>
      <c r="T30" s="81"/>
      <c r="U30" s="81"/>
    </row>
    <row r="31" customFormat="false" ht="14.25" hidden="false" customHeight="true" outlineLevel="0" collapsed="false">
      <c r="A31" s="1" t="s">
        <v>101</v>
      </c>
      <c r="B31" s="65"/>
      <c r="D31" s="75"/>
      <c r="I31" s="63"/>
      <c r="J31" s="75"/>
      <c r="L31" s="75"/>
      <c r="M31" s="1" t="n">
        <v>50</v>
      </c>
      <c r="O31" s="68" t="n">
        <f aca="false">190-5-3-3</f>
        <v>179</v>
      </c>
      <c r="S31" s="81"/>
      <c r="T31" s="81"/>
      <c r="U31" s="81"/>
    </row>
    <row r="32" customFormat="false" ht="14.25" hidden="false" customHeight="true" outlineLevel="0" collapsed="false">
      <c r="A32" s="1" t="s">
        <v>102</v>
      </c>
      <c r="B32" s="65" t="n">
        <f aca="false">C32/$C$19*$B$19</f>
        <v>2557.64647766323</v>
      </c>
      <c r="C32" s="65" t="n">
        <f aca="false">SUM(C22:C27)</f>
        <v>2848.9</v>
      </c>
      <c r="D32" s="76" t="n">
        <f aca="false">SUM(D22:D26)</f>
        <v>9104.8</v>
      </c>
      <c r="E32" s="65" t="n">
        <f aca="false">SUM(E22:E26)</f>
        <v>1851.25</v>
      </c>
      <c r="F32" s="65"/>
      <c r="G32" s="65" t="n">
        <f aca="false">SUM(G22:G26)</f>
        <v>1928.25</v>
      </c>
      <c r="H32" s="65" t="n">
        <f aca="false">SUM(H22:H26)</f>
        <v>1888.25</v>
      </c>
      <c r="I32" s="68" t="n">
        <f aca="false">SUM(I22:I26)</f>
        <v>2326.758</v>
      </c>
      <c r="J32" s="76" t="n">
        <f aca="false">SUM(J22:J27)</f>
        <v>2417.64</v>
      </c>
      <c r="K32" s="65" t="n">
        <f aca="false">SUM(K22:K26)</f>
        <v>2105.654</v>
      </c>
      <c r="L32" s="76" t="n">
        <f aca="false">SUM(L22:L27)</f>
        <v>2848.9</v>
      </c>
      <c r="M32" s="65" t="n">
        <f aca="false">SUM(M22:M31)</f>
        <v>1720</v>
      </c>
      <c r="N32" s="65"/>
      <c r="O32" s="63"/>
      <c r="U32" s="1"/>
      <c r="V32" s="81"/>
    </row>
    <row r="33" customFormat="false" ht="14.25" hidden="false" customHeight="true" outlineLevel="0" collapsed="false">
      <c r="A33" s="1" t="s">
        <v>103</v>
      </c>
      <c r="B33" s="71" t="n">
        <f aca="false">(0.5*B25+B24)/(B20+B25*0.5)</f>
        <v>0.749830966869507</v>
      </c>
      <c r="C33" s="71" t="n">
        <f aca="false">(0.5*C25+C24)/(C20+C25*0.5)</f>
        <v>0.749830966869507</v>
      </c>
      <c r="D33" s="72" t="n">
        <f aca="false">(0.5*D25+D24)/(D20+D25*0.5)</f>
        <v>0.653433043733275</v>
      </c>
      <c r="E33" s="82" t="n">
        <f aca="false">(0.5*E25+E24)/(E20+E25*0.5)</f>
        <v>0.62212389380531</v>
      </c>
      <c r="F33" s="82"/>
      <c r="G33" s="82" t="n">
        <f aca="false">(0.5*G25+G24)/(G20+G25*0.5)</f>
        <v>0.690265486725664</v>
      </c>
      <c r="H33" s="82" t="n">
        <f aca="false">(0.5*H25+H24)/(H20+H25*0.5)</f>
        <v>0.654867256637168</v>
      </c>
      <c r="I33" s="83" t="n">
        <f aca="false">(0.5*I25+I24)/(I20+I25*0.5)</f>
        <v>0.675598155611226</v>
      </c>
      <c r="J33" s="84" t="n">
        <f aca="false">(0.5*J25+J24)/(J20+J25*0.5)</f>
        <v>0.709090909090909</v>
      </c>
      <c r="K33" s="71" t="n">
        <f aca="false">(0.5*K25+K24)/(K20+K25*0.5)</f>
        <v>0.649802371541502</v>
      </c>
      <c r="L33" s="72" t="n">
        <f aca="false">(0.5*L25+L24)/(L20+L25*0.5)</f>
        <v>0.749830966869507</v>
      </c>
      <c r="M33" s="82"/>
      <c r="N33" s="82"/>
      <c r="O33" s="83" t="n">
        <f aca="false">(O24+O31)/O23</f>
        <v>0.50972400972401</v>
      </c>
      <c r="P33" s="50" t="n">
        <f aca="false">(0.5*P25+P24)/(P20+P25*0.5)</f>
        <v>0.917695473251029</v>
      </c>
      <c r="T33" s="1"/>
      <c r="V33" s="81"/>
    </row>
    <row r="34" customFormat="false" ht="14.25" hidden="false" customHeight="true" outlineLevel="0" collapsed="false">
      <c r="A34" s="1" t="s">
        <v>104</v>
      </c>
      <c r="B34" s="82" t="n">
        <f aca="false">(B25/2+B22)/B20</f>
        <v>0.147368421052632</v>
      </c>
      <c r="C34" s="71" t="n">
        <f aca="false">(C25/2+C22)/C20</f>
        <v>0.147368421052632</v>
      </c>
      <c r="D34" s="84" t="n">
        <f aca="false">(D25/2+D22)/D20</f>
        <v>0.144804088586031</v>
      </c>
      <c r="E34" s="82" t="n">
        <f aca="false">(E25/2+E22)/E20</f>
        <v>0.15</v>
      </c>
      <c r="F34" s="82"/>
      <c r="G34" s="82" t="n">
        <f aca="false">(G25/2+G22)/G20</f>
        <v>0.15</v>
      </c>
      <c r="H34" s="82" t="n">
        <f aca="false">(H25/2+H22)/H20</f>
        <v>0.15</v>
      </c>
      <c r="I34" s="85" t="n">
        <f aca="false">(I25/2+I22)/I20</f>
        <v>0.00375364431486881</v>
      </c>
      <c r="J34" s="84" t="n">
        <f aca="false">(J25/2+J22)/J20</f>
        <v>0.00396825396825397</v>
      </c>
      <c r="K34" s="71" t="n">
        <f aca="false">(K25/2+K22)/K20</f>
        <v>0.15</v>
      </c>
      <c r="L34" s="84" t="n">
        <f aca="false">(L25/2+L22)/L20</f>
        <v>0.147368421052632</v>
      </c>
      <c r="M34" s="71"/>
      <c r="N34" s="71"/>
      <c r="O34" s="63"/>
      <c r="V34" s="81"/>
    </row>
    <row r="35" customFormat="false" ht="14.25" hidden="false" customHeight="true" outlineLevel="0" collapsed="false">
      <c r="A35" s="1" t="s">
        <v>105</v>
      </c>
      <c r="B35" s="82" t="n">
        <f aca="false">B25/B20</f>
        <v>0.22406015037594</v>
      </c>
      <c r="C35" s="82" t="n">
        <f aca="false">C25/C20</f>
        <v>0.22406015037594</v>
      </c>
      <c r="D35" s="86" t="n">
        <f aca="false">D25/D20</f>
        <v>0.212947189097104</v>
      </c>
      <c r="E35" s="82" t="n">
        <f aca="false">E25/E20</f>
        <v>0.26</v>
      </c>
      <c r="F35" s="82"/>
      <c r="G35" s="82" t="n">
        <f aca="false">G25/G20</f>
        <v>0.26</v>
      </c>
      <c r="H35" s="82" t="n">
        <f aca="false">H25/H20</f>
        <v>0.26</v>
      </c>
      <c r="I35" s="87" t="n">
        <f aca="false">I25/I20</f>
        <v>0.00750728862973761</v>
      </c>
      <c r="J35" s="84" t="n">
        <f aca="false">J25/J20</f>
        <v>0.00793650793650794</v>
      </c>
      <c r="K35" s="71" t="n">
        <f aca="false">K25/K20</f>
        <v>0.00793650793650794</v>
      </c>
      <c r="L35" s="84" t="n">
        <f aca="false">L25/L20</f>
        <v>0.22406015037594</v>
      </c>
      <c r="M35" s="82"/>
      <c r="N35" s="82"/>
      <c r="O35" s="88" t="n">
        <f aca="false">O25/O23</f>
        <v>0.00125</v>
      </c>
      <c r="V35" s="81"/>
    </row>
    <row r="36" customFormat="false" ht="14.25" hidden="false" customHeight="true" outlineLevel="0" collapsed="false">
      <c r="C36" s="71"/>
      <c r="D36" s="71"/>
    </row>
    <row r="37" customFormat="false" ht="14.25" hidden="false" customHeight="true" outlineLevel="0" collapsed="false">
      <c r="C37" s="82"/>
      <c r="D37" s="82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106</v>
      </c>
      <c r="G39" s="1" t="s">
        <v>107</v>
      </c>
    </row>
    <row r="40" customFormat="false" ht="13.5" hidden="false" customHeight="true" outlineLevel="0" collapsed="false">
      <c r="B40" s="1" t="s">
        <v>108</v>
      </c>
      <c r="C40" s="1" t="n">
        <v>500</v>
      </c>
      <c r="D40" s="71" t="n">
        <v>0.18</v>
      </c>
      <c r="E40" s="1" t="n">
        <v>5</v>
      </c>
      <c r="F40" s="1" t="n">
        <f aca="false">E40*D40</f>
        <v>0.9</v>
      </c>
      <c r="G40" s="65" t="n">
        <f aca="false">D40*$G$45</f>
        <v>495</v>
      </c>
      <c r="H40" s="65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109</v>
      </c>
      <c r="C41" s="1" t="n">
        <v>375</v>
      </c>
      <c r="D41" s="71" t="n">
        <v>0.075</v>
      </c>
      <c r="E41" s="1" t="n">
        <f aca="false">5</f>
        <v>5</v>
      </c>
      <c r="F41" s="1" t="n">
        <f aca="false">E41*D41</f>
        <v>0.375</v>
      </c>
      <c r="G41" s="65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110</v>
      </c>
      <c r="C42" s="1" t="n">
        <v>375</v>
      </c>
      <c r="D42" s="71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65" t="n">
        <f aca="false">D42*$G$45</f>
        <v>206.25</v>
      </c>
    </row>
    <row r="43" customFormat="false" ht="13.5" hidden="false" customHeight="true" outlineLevel="0" collapsed="false">
      <c r="B43" s="1" t="s">
        <v>111</v>
      </c>
      <c r="C43" s="1" t="n">
        <v>750</v>
      </c>
      <c r="D43" s="71" t="n">
        <v>0.3</v>
      </c>
      <c r="E43" s="1" t="n">
        <f aca="false">65/5</f>
        <v>13</v>
      </c>
      <c r="F43" s="1" t="n">
        <f aca="false">E43*D43</f>
        <v>3.9</v>
      </c>
      <c r="G43" s="65" t="n">
        <f aca="false">D43*$G$45</f>
        <v>825</v>
      </c>
    </row>
    <row r="44" customFormat="false" ht="13.5" hidden="false" customHeight="true" outlineLevel="0" collapsed="false">
      <c r="B44" s="1" t="s">
        <v>1</v>
      </c>
      <c r="C44" s="1" t="n">
        <v>750</v>
      </c>
      <c r="D44" s="71" t="n">
        <v>0.37</v>
      </c>
      <c r="E44" s="1" t="n">
        <v>7</v>
      </c>
      <c r="F44" s="1" t="n">
        <f aca="false">E44*D44</f>
        <v>2.59</v>
      </c>
      <c r="G44" s="65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57</v>
      </c>
      <c r="D46" s="50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</v>
      </c>
      <c r="D47" s="50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99</v>
      </c>
      <c r="D48" s="50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J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1" sqref="D9:D22 H1"/>
    </sheetView>
  </sheetViews>
  <sheetFormatPr defaultColWidth="8.59765625" defaultRowHeight="15.6" zeroHeight="false" outlineLevelRow="0" outlineLevelCol="0"/>
  <cols>
    <col collapsed="false" customWidth="true" hidden="false" outlineLevel="0" max="1" min="1" style="89" width="8.45"/>
    <col collapsed="false" customWidth="true" hidden="false" outlineLevel="0" max="2" min="2" style="89" width="20.22"/>
    <col collapsed="false" customWidth="true" hidden="false" outlineLevel="0" max="3" min="3" style="89" width="2.47"/>
    <col collapsed="false" customWidth="true" hidden="false" outlineLevel="0" max="4" min="4" style="89" width="22.58"/>
    <col collapsed="false" customWidth="false" hidden="false" outlineLevel="0" max="5" min="5" style="89" width="8.59"/>
    <col collapsed="false" customWidth="true" hidden="false" outlineLevel="0" max="6" min="6" style="89" width="6"/>
    <col collapsed="false" customWidth="false" hidden="false" outlineLevel="0" max="7" min="7" style="89" width="8.59"/>
    <col collapsed="false" customWidth="true" hidden="false" outlineLevel="0" max="8" min="8" style="89" width="12.42"/>
    <col collapsed="false" customWidth="false" hidden="false" outlineLevel="0" max="9" min="9" style="89" width="8.59"/>
    <col collapsed="false" customWidth="true" hidden="false" outlineLevel="0" max="10" min="10" style="89" width="5.18"/>
  </cols>
  <sheetData>
    <row r="2" customFormat="false" ht="15.6" hidden="false" customHeight="true" outlineLevel="0" collapsed="false">
      <c r="A2" s="90"/>
      <c r="B2" s="90"/>
      <c r="C2" s="90"/>
      <c r="D2" s="90"/>
      <c r="E2" s="90"/>
      <c r="F2" s="90"/>
      <c r="G2" s="90"/>
      <c r="H2" s="90"/>
      <c r="I2" s="90"/>
      <c r="J2" s="90"/>
    </row>
    <row r="3" customFormat="false" ht="15.6" hidden="false" customHeight="true" outlineLevel="0" collapsed="false">
      <c r="A3" s="90"/>
      <c r="B3" s="90"/>
      <c r="J3" s="90"/>
    </row>
    <row r="4" customFormat="false" ht="15.6" hidden="false" customHeight="true" outlineLevel="0" collapsed="false">
      <c r="A4" s="90"/>
      <c r="B4" s="90"/>
      <c r="C4" s="90"/>
      <c r="D4" s="90"/>
      <c r="E4" s="90"/>
      <c r="F4" s="90"/>
      <c r="G4" s="90"/>
      <c r="H4" s="90"/>
      <c r="I4" s="90"/>
      <c r="J4" s="90"/>
    </row>
    <row r="5" customFormat="false" ht="15.6" hidden="false" customHeight="true" outlineLevel="0" collapsed="false">
      <c r="A5" s="90"/>
      <c r="B5" s="90"/>
      <c r="C5" s="90"/>
      <c r="D5" s="90"/>
      <c r="E5" s="90"/>
      <c r="F5" s="90"/>
      <c r="G5" s="90"/>
      <c r="H5" s="90"/>
      <c r="I5" s="90"/>
      <c r="J5" s="90"/>
    </row>
    <row r="6" customFormat="false" ht="15.6" hidden="false" customHeight="true" outlineLevel="0" collapsed="false">
      <c r="A6" s="90"/>
      <c r="B6" s="90"/>
      <c r="J6" s="90"/>
    </row>
    <row r="7" customFormat="false" ht="15.6" hidden="false" customHeight="true" outlineLevel="0" collapsed="false">
      <c r="A7" s="90"/>
      <c r="B7" s="90"/>
      <c r="C7" s="90"/>
      <c r="D7" s="90"/>
      <c r="E7" s="90"/>
      <c r="F7" s="90"/>
      <c r="G7" s="90"/>
      <c r="H7" s="90"/>
      <c r="I7" s="90"/>
      <c r="J7" s="90"/>
    </row>
    <row r="8" customFormat="false" ht="15.6" hidden="false" customHeight="true" outlineLevel="0" collapsed="false">
      <c r="A8" s="90"/>
      <c r="B8" s="90"/>
      <c r="J8" s="90"/>
    </row>
    <row r="9" customFormat="false" ht="15.6" hidden="false" customHeight="true" outlineLevel="0" collapsed="false">
      <c r="A9" s="90"/>
      <c r="B9" s="90"/>
      <c r="C9" s="90"/>
      <c r="D9" s="90"/>
      <c r="E9" s="90"/>
      <c r="F9" s="90"/>
      <c r="G9" s="90"/>
      <c r="H9" s="90"/>
      <c r="I9" s="90"/>
      <c r="J9" s="90"/>
    </row>
    <row r="10" customFormat="false" ht="15.6" hidden="false" customHeight="true" outlineLevel="0" collapsed="false">
      <c r="A10" s="90"/>
      <c r="B10" s="90"/>
      <c r="J10" s="90"/>
    </row>
    <row r="11" customFormat="false" ht="15.6" hidden="false" customHeight="true" outlineLevel="0" collapsed="false">
      <c r="A11" s="90"/>
      <c r="B11" s="90"/>
      <c r="C11" s="90"/>
      <c r="D11" s="90"/>
      <c r="E11" s="90"/>
      <c r="F11" s="90"/>
      <c r="G11" s="90"/>
      <c r="H11" s="90"/>
      <c r="I11" s="90"/>
      <c r="J11" s="90"/>
    </row>
    <row r="12" customFormat="false" ht="15.6" hidden="false" customHeight="true" outlineLevel="0" collapsed="false">
      <c r="A12" s="90"/>
      <c r="B12" s="90"/>
      <c r="J12" s="90"/>
    </row>
    <row r="13" customFormat="false" ht="15.6" hidden="false" customHeight="true" outlineLevel="0" collapsed="false">
      <c r="A13" s="90"/>
      <c r="B13" s="90"/>
      <c r="J13" s="90"/>
    </row>
    <row r="14" customFormat="false" ht="15.6" hidden="false" customHeight="true" outlineLevel="0" collapsed="false">
      <c r="A14" s="90"/>
      <c r="B14" s="90"/>
      <c r="C14" s="90"/>
      <c r="D14" s="90"/>
      <c r="E14" s="90"/>
      <c r="F14" s="90"/>
      <c r="G14" s="90"/>
      <c r="H14" s="90"/>
      <c r="I14" s="90"/>
      <c r="J14" s="90"/>
    </row>
    <row r="15" customFormat="false" ht="15.6" hidden="false" customHeight="true" outlineLevel="0" collapsed="false">
      <c r="A15" s="90"/>
      <c r="B15" s="90"/>
      <c r="J15" s="90"/>
    </row>
    <row r="16" customFormat="false" ht="15.6" hidden="false" customHeight="true" outlineLevel="0" collapsed="false">
      <c r="A16" s="90"/>
      <c r="B16" s="90"/>
      <c r="C16" s="90"/>
      <c r="D16" s="90"/>
      <c r="E16" s="90"/>
      <c r="F16" s="90"/>
      <c r="G16" s="90"/>
      <c r="H16" s="90"/>
      <c r="I16" s="90"/>
      <c r="J16" s="90"/>
    </row>
    <row r="17" customFormat="false" ht="15.6" hidden="false" customHeight="true" outlineLevel="0" collapsed="false">
      <c r="A17" s="90"/>
      <c r="B17" s="90"/>
      <c r="J17" s="90"/>
    </row>
    <row r="18" customFormat="false" ht="15.6" hidden="false" customHeight="true" outlineLevel="0" collapsed="false">
      <c r="A18" s="90"/>
      <c r="B18" s="90"/>
      <c r="C18" s="90"/>
      <c r="D18" s="90"/>
      <c r="E18" s="90"/>
      <c r="F18" s="90"/>
      <c r="G18" s="90"/>
      <c r="H18" s="90"/>
      <c r="I18" s="90"/>
      <c r="J18" s="90"/>
    </row>
    <row r="19" customFormat="false" ht="15.6" hidden="false" customHeight="true" outlineLevel="0" collapsed="false">
      <c r="A19" s="90"/>
      <c r="B19" s="90"/>
      <c r="J19" s="90"/>
    </row>
    <row r="20" customFormat="false" ht="15.6" hidden="false" customHeight="true" outlineLevel="0" collapsed="false">
      <c r="A20" s="90"/>
      <c r="B20" s="90"/>
      <c r="C20" s="90"/>
      <c r="D20" s="90"/>
      <c r="E20" s="90"/>
      <c r="F20" s="90"/>
      <c r="G20" s="90"/>
      <c r="H20" s="90"/>
      <c r="I20" s="90"/>
      <c r="J20" s="90"/>
    </row>
    <row r="21" customFormat="false" ht="15.6" hidden="false" customHeight="true" outlineLevel="0" collapsed="false">
      <c r="A21" s="90"/>
      <c r="B21" s="90"/>
      <c r="J21" s="90"/>
    </row>
    <row r="22" customFormat="false" ht="15.6" hidden="false" customHeight="true" outlineLevel="0" collapsed="false">
      <c r="A22" s="90"/>
      <c r="B22" s="90"/>
      <c r="C22" s="90"/>
      <c r="D22" s="90"/>
      <c r="E22" s="90"/>
      <c r="F22" s="90"/>
      <c r="G22" s="90"/>
      <c r="H22" s="90"/>
      <c r="I22" s="90"/>
      <c r="J22" s="90"/>
    </row>
    <row r="23" customFormat="false" ht="15.6" hidden="false" customHeight="true" outlineLevel="0" collapsed="false">
      <c r="A23" s="90"/>
      <c r="B23" s="90"/>
      <c r="J23" s="90"/>
    </row>
    <row r="24" customFormat="false" ht="15.6" hidden="false" customHeight="true" outlineLevel="0" collapsed="false">
      <c r="A24" s="90"/>
      <c r="B24" s="90"/>
      <c r="J24" s="90"/>
    </row>
    <row r="25" customFormat="false" ht="15.6" hidden="false" customHeight="true" outlineLevel="0" collapsed="false">
      <c r="A25" s="90"/>
      <c r="B25" s="90"/>
      <c r="C25" s="90"/>
      <c r="D25" s="90"/>
      <c r="E25" s="90"/>
      <c r="F25" s="90"/>
      <c r="G25" s="90"/>
      <c r="H25" s="90"/>
      <c r="I25" s="90"/>
      <c r="J25" s="90"/>
    </row>
    <row r="26" customFormat="false" ht="15.6" hidden="false" customHeight="true" outlineLevel="0" collapsed="false">
      <c r="A26" s="90"/>
      <c r="B26" s="90"/>
      <c r="J26" s="90"/>
    </row>
    <row r="27" customFormat="false" ht="15.6" hidden="false" customHeight="true" outlineLevel="0" collapsed="false">
      <c r="A27" s="90"/>
      <c r="B27" s="90"/>
      <c r="J27" s="90"/>
    </row>
    <row r="28" customFormat="false" ht="15.6" hidden="false" customHeight="true" outlineLevel="0" collapsed="false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customFormat="false" ht="15.6" hidden="false" customHeight="true" outlineLevel="0" collapsed="false">
      <c r="A29" s="90"/>
      <c r="B29" s="90"/>
      <c r="J29" s="90"/>
    </row>
    <row r="30" customFormat="false" ht="15.6" hidden="false" customHeight="true" outlineLevel="0" collapsed="false">
      <c r="A30" s="90"/>
      <c r="B30" s="90"/>
      <c r="J30" s="90"/>
    </row>
    <row r="31" customFormat="false" ht="15.6" hidden="false" customHeight="true" outlineLevel="0" collapsed="false">
      <c r="A31" s="90"/>
      <c r="B31" s="90"/>
      <c r="J31" s="90"/>
    </row>
    <row r="32" customFormat="false" ht="15.6" hidden="false" customHeight="true" outlineLevel="0" collapsed="false">
      <c r="A32" s="90"/>
      <c r="B32" s="90"/>
      <c r="C32" s="90"/>
      <c r="D32" s="90"/>
      <c r="E32" s="90"/>
      <c r="F32" s="90"/>
      <c r="G32" s="90"/>
      <c r="H32" s="90"/>
      <c r="I32" s="90"/>
      <c r="J32" s="90"/>
    </row>
    <row r="33" customFormat="false" ht="15.6" hidden="false" customHeight="true" outlineLevel="0" collapsed="false">
      <c r="A33" s="90"/>
      <c r="B33" s="90"/>
      <c r="J33" s="90"/>
    </row>
    <row r="34" customFormat="false" ht="15.6" hidden="false" customHeight="true" outlineLevel="0" collapsed="false">
      <c r="A34" s="90"/>
      <c r="B34" s="90"/>
      <c r="J34" s="90"/>
    </row>
    <row r="35" customFormat="false" ht="15.6" hidden="false" customHeight="true" outlineLevel="0" collapsed="false">
      <c r="A35" s="90"/>
      <c r="B35" s="90"/>
      <c r="C35" s="90"/>
      <c r="D35" s="90"/>
      <c r="E35" s="90"/>
      <c r="F35" s="90"/>
      <c r="G35" s="90"/>
      <c r="H35" s="90"/>
      <c r="I35" s="90"/>
      <c r="J35" s="90"/>
    </row>
    <row r="36" customFormat="false" ht="15.6" hidden="false" customHeight="true" outlineLevel="0" collapsed="false">
      <c r="A36" s="90"/>
      <c r="B36" s="90"/>
      <c r="J36" s="90"/>
    </row>
    <row r="37" customFormat="false" ht="15.6" hidden="false" customHeight="true" outlineLevel="0" collapsed="false">
      <c r="A37" s="90"/>
      <c r="B37" s="90"/>
      <c r="C37" s="90"/>
      <c r="D37" s="90"/>
      <c r="E37" s="90"/>
      <c r="F37" s="90"/>
      <c r="G37" s="90"/>
      <c r="H37" s="90"/>
      <c r="I37" s="90"/>
      <c r="J37" s="90"/>
    </row>
    <row r="38" customFormat="false" ht="15.6" hidden="false" customHeight="true" outlineLevel="0" collapsed="false">
      <c r="A38" s="90"/>
      <c r="B38" s="90"/>
      <c r="J38" s="90"/>
    </row>
    <row r="39" customFormat="false" ht="15.6" hidden="false" customHeight="true" outlineLevel="0" collapsed="false">
      <c r="A39" s="90"/>
      <c r="B39" s="90"/>
      <c r="C39" s="90"/>
      <c r="D39" s="90"/>
      <c r="E39" s="90"/>
      <c r="F39" s="90"/>
      <c r="G39" s="90"/>
      <c r="H39" s="90"/>
      <c r="I39" s="90"/>
      <c r="J39" s="90"/>
    </row>
    <row r="40" customFormat="false" ht="15.6" hidden="false" customHeight="true" outlineLevel="0" collapsed="false">
      <c r="A40" s="90"/>
      <c r="B40" s="90"/>
      <c r="J40" s="90"/>
    </row>
    <row r="41" customFormat="false" ht="15.6" hidden="false" customHeight="true" outlineLevel="0" collapsed="false">
      <c r="A41" s="90"/>
      <c r="B41" s="90"/>
      <c r="J41" s="90"/>
    </row>
    <row r="42" customFormat="false" ht="15.6" hidden="false" customHeight="true" outlineLevel="0" collapsed="false">
      <c r="A42" s="90"/>
      <c r="B42" s="90"/>
      <c r="J42" s="90"/>
    </row>
    <row r="43" customFormat="false" ht="15.6" hidden="false" customHeight="true" outlineLevel="0" collapsed="false">
      <c r="A43" s="90"/>
      <c r="B43" s="90"/>
      <c r="J43" s="90"/>
    </row>
    <row r="44" customFormat="false" ht="15.6" hidden="false" customHeight="true" outlineLevel="0" collapsed="false">
      <c r="A44" s="90"/>
      <c r="B44" s="90"/>
      <c r="C44" s="90"/>
      <c r="D44" s="90"/>
      <c r="E44" s="90"/>
      <c r="F44" s="90"/>
      <c r="G44" s="90"/>
      <c r="H44" s="90"/>
      <c r="I44" s="90"/>
      <c r="J44" s="9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K48"/>
  <sheetViews>
    <sheetView showFormulas="false" showGridLines="true" showRowColHeaders="true" showZeros="true" rightToLeft="false" tabSelected="false" showOutlineSymbols="true" defaultGridColor="true" view="normal" topLeftCell="R1" colorId="64" zoomScale="100" zoomScaleNormal="100" zoomScalePageLayoutView="100" workbookViewId="0">
      <selection pane="topLeft" activeCell="Y27" activeCellId="1" sqref="D9:D22 Y27"/>
    </sheetView>
  </sheetViews>
  <sheetFormatPr defaultColWidth="10.16015625" defaultRowHeight="17.35" zeroHeight="false" outlineLevelRow="0" outlineLevelCol="0"/>
  <cols>
    <col collapsed="false" customWidth="false" hidden="false" outlineLevel="0" max="6" min="1" style="2" width="10.16"/>
    <col collapsed="false" customWidth="true" hidden="false" outlineLevel="0" max="7" min="7" style="2" width="33.53"/>
    <col collapsed="false" customWidth="false" hidden="false" outlineLevel="0" max="16" min="8" style="2" width="10.16"/>
    <col collapsed="false" customWidth="true" hidden="false" outlineLevel="0" max="17" min="17" style="2" width="11.61"/>
    <col collapsed="false" customWidth="false" hidden="false" outlineLevel="0" max="24" min="18" style="2" width="10.16"/>
    <col collapsed="false" customWidth="true" hidden="false" outlineLevel="0" max="25" min="25" style="2" width="27.09"/>
    <col collapsed="false" customWidth="true" hidden="false" outlineLevel="0" max="26" min="26" style="2" width="22.79"/>
    <col collapsed="false" customWidth="true" hidden="false" outlineLevel="0" max="27" min="27" style="2" width="7.64"/>
    <col collapsed="false" customWidth="true" hidden="false" outlineLevel="0" max="28" min="28" style="2" width="15.62"/>
    <col collapsed="false" customWidth="true" hidden="false" outlineLevel="0" max="29" min="29" style="2" width="7.64"/>
    <col collapsed="false" customWidth="true" hidden="false" outlineLevel="0" max="30" min="30" style="2" width="19.58"/>
    <col collapsed="false" customWidth="true" hidden="false" outlineLevel="0" max="31" min="31" style="2" width="7.64"/>
    <col collapsed="false" customWidth="true" hidden="false" outlineLevel="0" max="32" min="32" style="2" width="11.92"/>
    <col collapsed="false" customWidth="true" hidden="false" outlineLevel="0" max="33" min="33" style="2" width="6.25"/>
    <col collapsed="false" customWidth="false" hidden="false" outlineLevel="0" max="34" min="34" style="2" width="10.16"/>
    <col collapsed="false" customWidth="true" hidden="false" outlineLevel="0" max="35" min="35" style="2" width="13.63"/>
    <col collapsed="false" customWidth="false" hidden="false" outlineLevel="0" max="16384" min="36" style="2" width="10.16"/>
  </cols>
  <sheetData>
    <row r="1" customFormat="false" ht="17.35" hidden="false" customHeight="false" outlineLevel="0" collapsed="false">
      <c r="C1" s="2" t="s">
        <v>112</v>
      </c>
      <c r="G1" s="2" t="s">
        <v>93</v>
      </c>
      <c r="K1" s="2" t="s">
        <v>113</v>
      </c>
      <c r="O1" s="2" t="s">
        <v>114</v>
      </c>
      <c r="R1" s="2" t="s">
        <v>115</v>
      </c>
      <c r="S1" s="2" t="n">
        <v>0.2</v>
      </c>
      <c r="U1" s="2" t="s">
        <v>116</v>
      </c>
      <c r="V1" s="2" t="n">
        <v>1.8</v>
      </c>
    </row>
    <row r="2" customFormat="false" ht="17.35" hidden="false" customHeight="false" outlineLevel="0" collapsed="false">
      <c r="G2" s="2" t="s">
        <v>117</v>
      </c>
      <c r="Z2" s="91" t="s">
        <v>118</v>
      </c>
      <c r="AA2" s="91"/>
      <c r="AB2" s="91" t="s">
        <v>119</v>
      </c>
      <c r="AC2" s="91"/>
      <c r="AD2" s="91" t="s">
        <v>120</v>
      </c>
      <c r="AE2" s="91"/>
      <c r="AF2" s="91" t="s">
        <v>121</v>
      </c>
      <c r="AG2" s="91"/>
      <c r="AH2" s="92"/>
      <c r="AJ2" s="2" t="s">
        <v>122</v>
      </c>
      <c r="AK2" s="2" t="n">
        <v>12</v>
      </c>
    </row>
    <row r="3" customFormat="false" ht="17.35" hidden="false" customHeight="false" outlineLevel="0" collapsed="false">
      <c r="D3" s="2" t="n">
        <v>6000</v>
      </c>
      <c r="G3" s="2" t="s">
        <v>123</v>
      </c>
      <c r="K3" s="2" t="s">
        <v>124</v>
      </c>
      <c r="O3" s="2" t="s">
        <v>125</v>
      </c>
      <c r="P3" s="2" t="s">
        <v>96</v>
      </c>
      <c r="Q3" s="2" t="s">
        <v>126</v>
      </c>
      <c r="R3" s="2" t="s">
        <v>127</v>
      </c>
      <c r="S3" s="2" t="s">
        <v>128</v>
      </c>
      <c r="T3" s="2" t="s">
        <v>129</v>
      </c>
      <c r="U3" s="2" t="s">
        <v>130</v>
      </c>
      <c r="V3" s="2" t="s">
        <v>131</v>
      </c>
      <c r="Z3" s="93"/>
      <c r="AA3" s="94"/>
      <c r="AB3" s="93"/>
      <c r="AC3" s="94"/>
      <c r="AD3" s="93"/>
      <c r="AE3" s="94"/>
      <c r="AF3" s="93"/>
      <c r="AG3" s="94"/>
      <c r="AH3" s="94"/>
    </row>
    <row r="4" customFormat="false" ht="17.35" hidden="false" customHeight="false" outlineLevel="0" collapsed="false">
      <c r="C4" s="2" t="s">
        <v>96</v>
      </c>
      <c r="D4" s="25" t="n">
        <v>3944.16243654822</v>
      </c>
      <c r="E4" s="95" t="n">
        <f aca="false">D4/1000*1.8</f>
        <v>7.0994923857868</v>
      </c>
      <c r="G4" s="2" t="s">
        <v>132</v>
      </c>
      <c r="K4" s="2" t="s">
        <v>133</v>
      </c>
      <c r="O4" s="2" t="n">
        <v>0.52</v>
      </c>
      <c r="P4" s="2" t="n">
        <f aca="false">O4/1.55*$V$1</f>
        <v>0.603870967741936</v>
      </c>
      <c r="Q4" s="2" t="n">
        <f aca="false">O4/1.55*16/1000*3</f>
        <v>0.0161032258064516</v>
      </c>
      <c r="R4" s="2" t="n">
        <f aca="false">$S$1*O4/1.55</f>
        <v>0.0670967741935484</v>
      </c>
      <c r="S4" s="2" t="n">
        <f aca="false">(P4+Q4+R4)/O4</f>
        <v>1.32129032258065</v>
      </c>
      <c r="T4" s="2" t="n">
        <f aca="false">3.5/O4</f>
        <v>6.73076923076923</v>
      </c>
      <c r="U4" s="2" t="n">
        <f aca="false">T4-S4</f>
        <v>5.40947890818859</v>
      </c>
      <c r="V4" s="96" t="n">
        <f aca="false">U4/T4</f>
        <v>0.80369400921659</v>
      </c>
      <c r="Y4" s="2" t="s">
        <v>134</v>
      </c>
      <c r="Z4" s="93" t="n">
        <v>0.25</v>
      </c>
      <c r="AA4" s="97" t="n">
        <f aca="false">Z4/1.55*1.8</f>
        <v>0.290322580645161</v>
      </c>
      <c r="AB4" s="93" t="n">
        <v>0.25</v>
      </c>
      <c r="AC4" s="97" t="n">
        <f aca="false">AB4/1.55*1.8</f>
        <v>0.290322580645161</v>
      </c>
      <c r="AD4" s="93" t="n">
        <v>0.25</v>
      </c>
      <c r="AE4" s="97" t="n">
        <f aca="false">AD4/1.55*$Z$38</f>
        <v>0.290322580645161</v>
      </c>
      <c r="AF4" s="93" t="n">
        <v>0.25</v>
      </c>
      <c r="AG4" s="97" t="n">
        <f aca="false">AF4/1.55*1.8</f>
        <v>0.290322580645161</v>
      </c>
      <c r="AH4" s="97"/>
      <c r="AI4" s="2" t="s">
        <v>134</v>
      </c>
      <c r="AJ4" s="2" t="n">
        <f aca="false">AF4*$AK$2</f>
        <v>3</v>
      </c>
    </row>
    <row r="5" customFormat="false" ht="17.35" hidden="false" customHeight="false" outlineLevel="0" collapsed="false">
      <c r="C5" s="2" t="s">
        <v>6</v>
      </c>
      <c r="D5" s="25" t="n">
        <v>978.285391990976</v>
      </c>
      <c r="E5" s="95"/>
      <c r="O5" s="2" t="n">
        <v>0.9</v>
      </c>
      <c r="P5" s="2" t="n">
        <f aca="false">O5/1.55*$V$1</f>
        <v>1.04516129032258</v>
      </c>
      <c r="Q5" s="2" t="n">
        <f aca="false">O5/1.55*16/1000*3</f>
        <v>0.0278709677419355</v>
      </c>
      <c r="R5" s="2" t="n">
        <f aca="false">$S$1*O5/1.55</f>
        <v>0.116129032258065</v>
      </c>
      <c r="S5" s="2" t="n">
        <f aca="false">(P5+Q5+R5)/O5</f>
        <v>1.32129032258065</v>
      </c>
      <c r="T5" s="2" t="n">
        <f aca="false">5/0.8</f>
        <v>6.25</v>
      </c>
      <c r="U5" s="2" t="n">
        <f aca="false">T5-S5</f>
        <v>4.92870967741936</v>
      </c>
      <c r="V5" s="96" t="n">
        <f aca="false">U5/T5</f>
        <v>0.788593548387097</v>
      </c>
      <c r="Y5" s="2" t="s">
        <v>135</v>
      </c>
      <c r="Z5" s="93" t="n">
        <v>0.08</v>
      </c>
      <c r="AA5" s="97" t="n">
        <f aca="false">Z5*$Z$40</f>
        <v>0.759810426540284</v>
      </c>
      <c r="AB5" s="93"/>
      <c r="AC5" s="97"/>
      <c r="AD5" s="93"/>
      <c r="AE5" s="97"/>
      <c r="AF5" s="93"/>
      <c r="AG5" s="97"/>
      <c r="AH5" s="97"/>
      <c r="AI5" s="2" t="s">
        <v>135</v>
      </c>
      <c r="AJ5" s="2" t="n">
        <f aca="false">AD5*$AK$2</f>
        <v>0</v>
      </c>
    </row>
    <row r="6" customFormat="false" ht="17.35" hidden="false" customHeight="false" outlineLevel="0" collapsed="false">
      <c r="C6" s="2" t="s">
        <v>136</v>
      </c>
      <c r="D6" s="25" t="n">
        <v>4.12340425531915</v>
      </c>
      <c r="E6" s="95"/>
      <c r="G6" s="2" t="s">
        <v>96</v>
      </c>
      <c r="H6" s="1" t="n">
        <v>1000</v>
      </c>
      <c r="I6" s="2" t="n">
        <f aca="false">H6/1000*4</f>
        <v>4</v>
      </c>
      <c r="K6" s="2" t="n">
        <v>1000</v>
      </c>
      <c r="L6" s="2" t="n">
        <f aca="false">K6/1000*4</f>
        <v>4</v>
      </c>
      <c r="O6" s="2" t="n">
        <v>1.18</v>
      </c>
      <c r="P6" s="2" t="n">
        <f aca="false">O6/1.55*$V$1</f>
        <v>1.37032258064516</v>
      </c>
      <c r="Q6" s="2" t="n">
        <f aca="false">O6/1.55*16/1000*3</f>
        <v>0.036541935483871</v>
      </c>
      <c r="R6" s="2" t="n">
        <f aca="false">$S$1*O6/1.55</f>
        <v>0.152258064516129</v>
      </c>
      <c r="S6" s="2" t="n">
        <f aca="false">(P6+Q6+R6)/O6</f>
        <v>1.32129032258065</v>
      </c>
      <c r="T6" s="2" t="n">
        <f aca="false">6</f>
        <v>6</v>
      </c>
      <c r="U6" s="2" t="n">
        <f aca="false">T6-S6</f>
        <v>4.67870967741936</v>
      </c>
      <c r="V6" s="96" t="n">
        <f aca="false">U6/T6</f>
        <v>0.779784946236559</v>
      </c>
      <c r="Y6" s="2" t="s">
        <v>137</v>
      </c>
      <c r="Z6" s="93" t="n">
        <v>0.06</v>
      </c>
      <c r="AA6" s="97" t="n">
        <f aca="false">Z6*$Z$41</f>
        <v>0.597156398104265</v>
      </c>
      <c r="AB6" s="93" t="n">
        <v>0.06</v>
      </c>
      <c r="AC6" s="97" t="n">
        <f aca="false">AB6*$Z$41</f>
        <v>0.597156398104265</v>
      </c>
      <c r="AD6" s="93"/>
      <c r="AE6" s="97"/>
      <c r="AF6" s="93"/>
      <c r="AG6" s="97"/>
      <c r="AH6" s="97"/>
      <c r="AI6" s="2" t="s">
        <v>137</v>
      </c>
      <c r="AJ6" s="2" t="n">
        <f aca="false">AB6*AK2</f>
        <v>0.72</v>
      </c>
    </row>
    <row r="7" customFormat="false" ht="17.35" hidden="false" customHeight="false" outlineLevel="0" collapsed="false">
      <c r="C7" s="1" t="s">
        <v>9</v>
      </c>
      <c r="D7" s="25" t="n">
        <v>68</v>
      </c>
      <c r="E7" s="95" t="n">
        <f aca="false">D7/1000*3</f>
        <v>0.204</v>
      </c>
      <c r="G7" s="2" t="s">
        <v>98</v>
      </c>
      <c r="H7" s="1" t="n">
        <f aca="false">H6*2</f>
        <v>2000</v>
      </c>
      <c r="I7" s="2" t="n">
        <f aca="false">H7/1000*2</f>
        <v>4</v>
      </c>
      <c r="O7" s="2" t="n">
        <v>1.8</v>
      </c>
      <c r="P7" s="2" t="n">
        <f aca="false">O7/1.55*$V$1</f>
        <v>2.09032258064516</v>
      </c>
      <c r="Q7" s="2" t="n">
        <f aca="false">O7/1.55*16/1000*3</f>
        <v>0.055741935483871</v>
      </c>
      <c r="R7" s="2" t="n">
        <f aca="false">$S$1*O7/1.55</f>
        <v>0.232258064516129</v>
      </c>
      <c r="S7" s="2" t="n">
        <f aca="false">(P7+Q7+R7)/O7</f>
        <v>1.32129032258065</v>
      </c>
      <c r="T7" s="2" t="n">
        <f aca="false">8/1.5</f>
        <v>5.33333333333333</v>
      </c>
      <c r="U7" s="2" t="n">
        <f aca="false">T7-S7</f>
        <v>4.01204301075269</v>
      </c>
      <c r="V7" s="96" t="n">
        <f aca="false">U7/T7</f>
        <v>0.752258064516129</v>
      </c>
      <c r="Y7" s="2" t="s">
        <v>138</v>
      </c>
      <c r="Z7" s="93" t="n">
        <v>0.05</v>
      </c>
      <c r="AA7" s="97" t="n">
        <f aca="false">Z7*Z33</f>
        <v>0.23696682464455</v>
      </c>
      <c r="AB7" s="93"/>
      <c r="AC7" s="97"/>
      <c r="AD7" s="93"/>
      <c r="AE7" s="97"/>
      <c r="AF7" s="93"/>
      <c r="AG7" s="97"/>
      <c r="AH7" s="97"/>
      <c r="AI7" s="2" t="s">
        <v>138</v>
      </c>
    </row>
    <row r="8" customFormat="false" ht="17.35" hidden="false" customHeight="false" outlineLevel="0" collapsed="false">
      <c r="C8" s="2" t="s">
        <v>72</v>
      </c>
      <c r="D8" s="25" t="n">
        <v>291</v>
      </c>
      <c r="E8" s="95" t="n">
        <f aca="false">D8/1000*6.5</f>
        <v>1.8915</v>
      </c>
      <c r="G8" s="2" t="s">
        <v>100</v>
      </c>
      <c r="H8" s="1" t="n">
        <f aca="false">H6/500*3</f>
        <v>6</v>
      </c>
      <c r="I8" s="2" t="n">
        <f aca="false">H8*0.5/1.055</f>
        <v>2.8436018957346</v>
      </c>
      <c r="O8" s="2" t="n">
        <v>0.7</v>
      </c>
      <c r="P8" s="2" t="n">
        <f aca="false">O8/1.55*$V$1</f>
        <v>0.812903225806452</v>
      </c>
      <c r="Q8" s="2" t="n">
        <f aca="false">O8/1.55*16/1000*3</f>
        <v>0.0216774193548387</v>
      </c>
      <c r="R8" s="2" t="n">
        <f aca="false">$S$1*O8/1.55</f>
        <v>0.0903225806451613</v>
      </c>
      <c r="S8" s="2" t="n">
        <f aca="false">(P8+Q8+R8)/O8</f>
        <v>1.32129032258065</v>
      </c>
      <c r="T8" s="2" t="n">
        <f aca="false">4/O8</f>
        <v>5.71428571428571</v>
      </c>
      <c r="U8" s="2" t="n">
        <f aca="false">T8-S8</f>
        <v>4.39299539170507</v>
      </c>
      <c r="V8" s="96" t="n">
        <f aca="false">U8/T8</f>
        <v>0.768774193548387</v>
      </c>
      <c r="Y8" s="2" t="s">
        <v>139</v>
      </c>
      <c r="Z8" s="93" t="n">
        <v>0.04</v>
      </c>
      <c r="AA8" s="97" t="n">
        <f aca="false">Z8*Z37</f>
        <v>0.758293838862559</v>
      </c>
      <c r="AB8" s="93"/>
      <c r="AC8" s="97"/>
      <c r="AD8" s="93" t="n">
        <v>0.04</v>
      </c>
      <c r="AE8" s="97" t="n">
        <f aca="false">AD8*Z37</f>
        <v>0.758293838862559</v>
      </c>
      <c r="AF8" s="93"/>
      <c r="AG8" s="97"/>
      <c r="AH8" s="97"/>
      <c r="AI8" s="2" t="s">
        <v>139</v>
      </c>
      <c r="AJ8" s="2" t="n">
        <f aca="false">AD8*AK2</f>
        <v>0.48</v>
      </c>
    </row>
    <row r="9" customFormat="false" ht="17.35" hidden="false" customHeight="false" outlineLevel="0" collapsed="false">
      <c r="C9" s="2" t="s">
        <v>73</v>
      </c>
      <c r="D9" s="25" t="n">
        <v>243</v>
      </c>
      <c r="E9" s="95" t="n">
        <f aca="false">D9/1000*4.12</f>
        <v>1.00116</v>
      </c>
      <c r="G9" s="2" t="s">
        <v>72</v>
      </c>
      <c r="H9" s="1" t="n">
        <f aca="false">H6/500*50</f>
        <v>100</v>
      </c>
      <c r="I9" s="2" t="n">
        <f aca="false">H9/1000*6</f>
        <v>0.6</v>
      </c>
      <c r="Y9" s="2" t="s">
        <v>140</v>
      </c>
      <c r="Z9" s="93"/>
      <c r="AA9" s="97"/>
      <c r="AB9" s="93"/>
      <c r="AC9" s="97"/>
      <c r="AD9" s="93"/>
      <c r="AE9" s="97"/>
      <c r="AF9" s="93"/>
      <c r="AG9" s="97"/>
      <c r="AH9" s="97"/>
      <c r="AI9" s="2" t="s">
        <v>140</v>
      </c>
    </row>
    <row r="10" customFormat="false" ht="17.35" hidden="false" customHeight="false" outlineLevel="0" collapsed="false">
      <c r="C10" s="2" t="s">
        <v>75</v>
      </c>
      <c r="D10" s="25" t="n">
        <v>1072</v>
      </c>
      <c r="E10" s="95" t="n">
        <f aca="false">D10/1000*1.95</f>
        <v>2.0904</v>
      </c>
      <c r="G10" s="2" t="s">
        <v>6</v>
      </c>
      <c r="H10" s="1"/>
      <c r="Y10" s="2" t="s">
        <v>141</v>
      </c>
      <c r="Z10" s="93"/>
      <c r="AA10" s="98"/>
      <c r="AB10" s="93" t="n">
        <v>0.06</v>
      </c>
      <c r="AC10" s="98" t="n">
        <f aca="false">AB10*Z35</f>
        <v>1.81990521327014</v>
      </c>
      <c r="AD10" s="93"/>
      <c r="AE10" s="98"/>
      <c r="AF10" s="93"/>
      <c r="AG10" s="98"/>
      <c r="AH10" s="98"/>
      <c r="AI10" s="2" t="s">
        <v>141</v>
      </c>
      <c r="AJ10" s="2" t="n">
        <f aca="false">AB10*AK2</f>
        <v>0.72</v>
      </c>
    </row>
    <row r="11" customFormat="false" ht="17.35" hidden="false" customHeight="false" outlineLevel="0" collapsed="false">
      <c r="C11" s="2" t="s">
        <v>127</v>
      </c>
      <c r="D11" s="2" t="n">
        <f aca="false">D3/1000*S1</f>
        <v>1.2</v>
      </c>
      <c r="E11" s="2" t="n">
        <f aca="false">D11*3*0.3</f>
        <v>1.08</v>
      </c>
      <c r="G11" s="2" t="s">
        <v>9</v>
      </c>
      <c r="H11" s="1"/>
      <c r="Y11" s="2" t="s">
        <v>142</v>
      </c>
      <c r="Z11" s="93"/>
      <c r="AA11" s="98"/>
      <c r="AB11" s="93" t="n">
        <v>0.125</v>
      </c>
      <c r="AC11" s="98" t="n">
        <f aca="false">AB11*$Z$36</f>
        <v>0.710900473933649</v>
      </c>
      <c r="AD11" s="93" t="n">
        <v>0.125</v>
      </c>
      <c r="AE11" s="98" t="n">
        <f aca="false">AD11*$Z$36</f>
        <v>0.710900473933649</v>
      </c>
      <c r="AF11" s="93" t="n">
        <v>0.15</v>
      </c>
      <c r="AG11" s="98" t="n">
        <f aca="false">AF11*$Z$36</f>
        <v>0.853080568720379</v>
      </c>
      <c r="AH11" s="98"/>
      <c r="AI11" s="2" t="s">
        <v>142</v>
      </c>
      <c r="AJ11" s="2" t="n">
        <f aca="false">(AF11+AD11+AB11)*AK2</f>
        <v>4.8</v>
      </c>
    </row>
    <row r="12" customFormat="false" ht="17.35" hidden="false" customHeight="false" outlineLevel="0" collapsed="false">
      <c r="C12" s="1"/>
      <c r="D12" s="1"/>
      <c r="E12" s="1"/>
      <c r="G12" s="2" t="s">
        <v>143</v>
      </c>
      <c r="H12" s="1" t="n">
        <f aca="false">H6/500*0.5</f>
        <v>1</v>
      </c>
      <c r="I12" s="1" t="n">
        <f aca="false">H12*3*0.25</f>
        <v>0.75</v>
      </c>
      <c r="K12" s="1" t="n">
        <f aca="false">0.34/500*K6</f>
        <v>0.68</v>
      </c>
      <c r="L12" s="1" t="n">
        <f aca="false">K12*3*0.25</f>
        <v>0.51</v>
      </c>
      <c r="Y12" s="2" t="s">
        <v>144</v>
      </c>
      <c r="Z12" s="93"/>
      <c r="AA12" s="98"/>
      <c r="AB12" s="93" t="n">
        <v>0.1</v>
      </c>
      <c r="AC12" s="98" t="n">
        <f aca="false">AB12*$Z$34</f>
        <v>1.32701421800948</v>
      </c>
      <c r="AD12" s="93"/>
      <c r="AE12" s="98"/>
      <c r="AF12" s="93" t="n">
        <v>0.12</v>
      </c>
      <c r="AG12" s="98" t="n">
        <f aca="false">AF12*$Z$34</f>
        <v>1.59241706161137</v>
      </c>
      <c r="AH12" s="98"/>
      <c r="AI12" s="2" t="s">
        <v>144</v>
      </c>
      <c r="AJ12" s="2" t="n">
        <f aca="false">(AF12+AD13+AB12)*12</f>
        <v>3.84</v>
      </c>
    </row>
    <row r="13" customFormat="false" ht="17.35" hidden="false" customHeight="false" outlineLevel="0" collapsed="false">
      <c r="G13" s="2" t="s">
        <v>145</v>
      </c>
      <c r="H13" s="1" t="n">
        <v>0.5</v>
      </c>
      <c r="I13" s="69" t="n">
        <f aca="false">I17*H13</f>
        <v>19.5</v>
      </c>
      <c r="K13" s="1" t="n">
        <v>0.34</v>
      </c>
      <c r="L13" s="69" t="n">
        <f aca="false">L17*K13</f>
        <v>12.172</v>
      </c>
      <c r="Y13" s="2" t="s">
        <v>146</v>
      </c>
      <c r="Z13" s="93" t="n">
        <v>0.08</v>
      </c>
      <c r="AA13" s="97" t="n">
        <f aca="false">Z13*$Z$34</f>
        <v>1.06161137440758</v>
      </c>
      <c r="AB13" s="93"/>
      <c r="AC13" s="98"/>
      <c r="AD13" s="93" t="n">
        <v>0.1</v>
      </c>
      <c r="AE13" s="98" t="n">
        <f aca="false">AD13*Z34</f>
        <v>1.32701421800948</v>
      </c>
      <c r="AF13" s="93"/>
      <c r="AG13" s="98"/>
      <c r="AH13" s="98"/>
    </row>
    <row r="14" customFormat="false" ht="17.35" hidden="false" customHeight="false" outlineLevel="0" collapsed="false">
      <c r="C14" s="2" t="s">
        <v>147</v>
      </c>
      <c r="E14" s="2" t="n">
        <f aca="false">SUM(E4:E11)</f>
        <v>13.3665523857868</v>
      </c>
      <c r="G14" s="1" t="s">
        <v>148</v>
      </c>
      <c r="H14" s="1"/>
      <c r="I14" s="2" t="n">
        <f aca="false">SUM(I6:I13)</f>
        <v>31.6936018957346</v>
      </c>
      <c r="L14" s="2" t="n">
        <f aca="false">SUM(L6:L13)</f>
        <v>16.682</v>
      </c>
      <c r="Y14" s="2" t="s">
        <v>149</v>
      </c>
      <c r="Z14" s="93"/>
      <c r="AA14" s="98"/>
      <c r="AB14" s="93"/>
      <c r="AC14" s="98"/>
      <c r="AD14" s="93" t="n">
        <v>0.04</v>
      </c>
      <c r="AE14" s="98" t="n">
        <f aca="false">AD14*$Z$39</f>
        <v>1.2</v>
      </c>
      <c r="AF14" s="93"/>
      <c r="AG14" s="98"/>
      <c r="AH14" s="98"/>
      <c r="AI14" s="2" t="s">
        <v>149</v>
      </c>
      <c r="AJ14" s="2" t="n">
        <f aca="false">AD14*AK2</f>
        <v>0.48</v>
      </c>
    </row>
    <row r="15" customFormat="false" ht="17.35" hidden="false" customHeight="false" outlineLevel="0" collapsed="false">
      <c r="C15" s="2" t="s">
        <v>150</v>
      </c>
      <c r="E15" s="2" t="n">
        <f aca="false">E14/6</f>
        <v>2.22775873096447</v>
      </c>
      <c r="G15" s="2" t="s">
        <v>151</v>
      </c>
      <c r="H15" s="2" t="n">
        <f aca="false">H6/500*18</f>
        <v>36</v>
      </c>
      <c r="K15" s="2" t="n">
        <v>20</v>
      </c>
      <c r="Z15" s="93"/>
      <c r="AA15" s="98"/>
      <c r="AB15" s="93"/>
      <c r="AC15" s="98"/>
      <c r="AD15" s="93"/>
      <c r="AE15" s="98"/>
      <c r="AF15" s="93"/>
      <c r="AG15" s="98"/>
      <c r="AH15" s="98"/>
    </row>
    <row r="16" customFormat="false" ht="17.35" hidden="false" customHeight="false" outlineLevel="0" collapsed="false">
      <c r="C16" s="2" t="s">
        <v>129</v>
      </c>
      <c r="E16" s="2" t="n">
        <v>8</v>
      </c>
      <c r="G16" s="2" t="s">
        <v>152</v>
      </c>
      <c r="H16" s="2" t="n">
        <f aca="false">I14/H15</f>
        <v>0.880377830437072</v>
      </c>
      <c r="K16" s="2" t="n">
        <f aca="false">L14/K15</f>
        <v>0.8341</v>
      </c>
      <c r="O16" s="2" t="s">
        <v>153</v>
      </c>
      <c r="Y16" s="2" t="s">
        <v>154</v>
      </c>
      <c r="Z16" s="93"/>
      <c r="AA16" s="97" t="n">
        <f aca="false">SUM(AA4:AA14)</f>
        <v>3.7041614432044</v>
      </c>
      <c r="AB16" s="93"/>
      <c r="AC16" s="97" t="n">
        <f aca="false">SUM(AC4:AC14)</f>
        <v>4.7452988839627</v>
      </c>
      <c r="AD16" s="93"/>
      <c r="AE16" s="97" t="n">
        <f aca="false">SUM(AE4:AE14)</f>
        <v>4.28653111145085</v>
      </c>
      <c r="AF16" s="93"/>
      <c r="AG16" s="97" t="n">
        <f aca="false">SUM(AG4:AG14)</f>
        <v>2.73582021097692</v>
      </c>
      <c r="AH16" s="97"/>
    </row>
    <row r="17" customFormat="false" ht="17.35" hidden="false" customHeight="false" outlineLevel="0" collapsed="false">
      <c r="C17" s="2" t="s">
        <v>155</v>
      </c>
      <c r="E17" s="2" t="n">
        <f aca="false">E16-E15</f>
        <v>5.77224126903553</v>
      </c>
      <c r="G17" s="2" t="s">
        <v>156</v>
      </c>
      <c r="I17" s="2" t="n">
        <v>39</v>
      </c>
      <c r="L17" s="2" t="n">
        <v>35.8</v>
      </c>
      <c r="O17" s="2" t="s">
        <v>157</v>
      </c>
      <c r="R17" s="2" t="n">
        <v>3</v>
      </c>
      <c r="Z17" s="93"/>
      <c r="AA17" s="98"/>
      <c r="AB17" s="93"/>
      <c r="AC17" s="98"/>
      <c r="AD17" s="93"/>
      <c r="AE17" s="98"/>
      <c r="AF17" s="93"/>
      <c r="AG17" s="98"/>
      <c r="AH17" s="98"/>
    </row>
    <row r="18" customFormat="false" ht="17.35" hidden="false" customHeight="false" outlineLevel="0" collapsed="false">
      <c r="C18" s="96" t="s">
        <v>131</v>
      </c>
      <c r="D18" s="96"/>
      <c r="E18" s="96" t="n">
        <f aca="false">E17/E16</f>
        <v>0.721530158629442</v>
      </c>
      <c r="O18" s="2" t="s">
        <v>158</v>
      </c>
      <c r="R18" s="2" t="n">
        <f aca="false">9</f>
        <v>9</v>
      </c>
      <c r="Y18" s="2" t="s">
        <v>159</v>
      </c>
      <c r="Z18" s="99" t="n">
        <f aca="false">1/10</f>
        <v>0.1</v>
      </c>
      <c r="AA18" s="97" t="n">
        <f aca="false">Z18*Z19</f>
        <v>6</v>
      </c>
      <c r="AB18" s="99"/>
      <c r="AC18" s="97" t="n">
        <f aca="false">AA18</f>
        <v>6</v>
      </c>
      <c r="AD18" s="99"/>
      <c r="AE18" s="97" t="n">
        <f aca="false">AC18</f>
        <v>6</v>
      </c>
      <c r="AF18" s="99"/>
      <c r="AG18" s="97" t="n">
        <f aca="false">AE18</f>
        <v>6</v>
      </c>
      <c r="AH18" s="97"/>
    </row>
    <row r="19" customFormat="false" ht="17.35" hidden="false" customHeight="false" outlineLevel="0" collapsed="false">
      <c r="O19" s="2" t="s">
        <v>160</v>
      </c>
      <c r="R19" s="2" t="n">
        <v>12</v>
      </c>
      <c r="Y19" s="2" t="s">
        <v>161</v>
      </c>
      <c r="Z19" s="93" t="n">
        <v>60</v>
      </c>
      <c r="AA19" s="98"/>
      <c r="AB19" s="99"/>
      <c r="AC19" s="98"/>
      <c r="AD19" s="99"/>
      <c r="AE19" s="98"/>
      <c r="AF19" s="99"/>
      <c r="AG19" s="98"/>
      <c r="AH19" s="98"/>
    </row>
    <row r="20" customFormat="false" ht="17.35" hidden="false" customHeight="false" outlineLevel="0" collapsed="false">
      <c r="C20" s="2" t="s">
        <v>162</v>
      </c>
      <c r="E20" s="2" t="n">
        <v>10.5</v>
      </c>
      <c r="O20" s="2" t="s">
        <v>163</v>
      </c>
      <c r="Y20" s="2" t="s">
        <v>127</v>
      </c>
      <c r="Z20" s="100"/>
      <c r="AA20" s="97" t="n">
        <f aca="false">10/60*3*0.25</f>
        <v>0.125</v>
      </c>
      <c r="AB20" s="101"/>
      <c r="AC20" s="97" t="n">
        <f aca="false">AA20</f>
        <v>0.125</v>
      </c>
      <c r="AD20" s="101"/>
      <c r="AE20" s="97" t="n">
        <f aca="false">AC20</f>
        <v>0.125</v>
      </c>
      <c r="AF20" s="101"/>
      <c r="AG20" s="97" t="n">
        <f aca="false">AE20</f>
        <v>0.125</v>
      </c>
      <c r="AH20" s="97"/>
    </row>
    <row r="21" customFormat="false" ht="17.35" hidden="false" customHeight="false" outlineLevel="0" collapsed="false">
      <c r="C21" s="2" t="s">
        <v>164</v>
      </c>
      <c r="E21" s="2" t="n">
        <f aca="false">E15*1.5</f>
        <v>3.3416380964467</v>
      </c>
      <c r="O21" s="2" t="s">
        <v>165</v>
      </c>
      <c r="R21" s="2" t="n">
        <f aca="false">50*5</f>
        <v>250</v>
      </c>
      <c r="Z21" s="100"/>
      <c r="AA21" s="98"/>
      <c r="AB21" s="101"/>
      <c r="AC21" s="98"/>
      <c r="AD21" s="101"/>
      <c r="AE21" s="98"/>
      <c r="AF21" s="101"/>
      <c r="AG21" s="98"/>
      <c r="AH21" s="98"/>
      <c r="AJ21" s="2" t="n">
        <f aca="false">90/16</f>
        <v>5.625</v>
      </c>
    </row>
    <row r="22" customFormat="false" ht="17.35" hidden="false" customHeight="false" outlineLevel="0" collapsed="false">
      <c r="C22" s="2" t="s">
        <v>155</v>
      </c>
      <c r="E22" s="2" t="n">
        <f aca="false">E20-E21</f>
        <v>7.1583619035533</v>
      </c>
      <c r="O22" s="2" t="s">
        <v>161</v>
      </c>
      <c r="R22" s="2" t="n">
        <f aca="false">R21/12</f>
        <v>20.8333333333333</v>
      </c>
      <c r="Y22" s="2" t="s">
        <v>166</v>
      </c>
      <c r="Z22" s="93"/>
      <c r="AA22" s="97" t="n">
        <f aca="false">AA16+AA18+AA20</f>
        <v>9.8291614432044</v>
      </c>
      <c r="AB22" s="99"/>
      <c r="AC22" s="97" t="n">
        <f aca="false">AC16+AC18+AC20</f>
        <v>10.8702988839627</v>
      </c>
      <c r="AD22" s="99"/>
      <c r="AE22" s="97" t="n">
        <f aca="false">AE16+AE18+AE20</f>
        <v>10.4115311114508</v>
      </c>
      <c r="AF22" s="99"/>
      <c r="AG22" s="97" t="n">
        <f aca="false">AG16+AG18+AG20</f>
        <v>8.86082021097692</v>
      </c>
      <c r="AH22" s="97"/>
      <c r="AJ22" s="2" t="n">
        <f aca="false">6*16</f>
        <v>96</v>
      </c>
    </row>
    <row r="23" customFormat="false" ht="17.35" hidden="false" customHeight="false" outlineLevel="0" collapsed="false">
      <c r="C23" s="96" t="s">
        <v>131</v>
      </c>
      <c r="D23" s="96"/>
      <c r="E23" s="96" t="n">
        <f aca="false">E22/E20</f>
        <v>0.681748752719362</v>
      </c>
      <c r="H23" s="2" t="n">
        <v>1</v>
      </c>
      <c r="I23" s="102" t="n">
        <f aca="false">H23*H16</f>
        <v>0.880377830437072</v>
      </c>
      <c r="J23" s="95" t="n">
        <f aca="false">I23</f>
        <v>0.880377830437072</v>
      </c>
      <c r="K23" s="2" t="n">
        <v>1</v>
      </c>
      <c r="L23" s="102" t="n">
        <f aca="false">K23*$K$16</f>
        <v>0.8341</v>
      </c>
      <c r="M23" s="95" t="n">
        <f aca="false">L23</f>
        <v>0.8341</v>
      </c>
      <c r="Y23" s="2" t="s">
        <v>162</v>
      </c>
      <c r="Z23" s="93"/>
      <c r="AA23" s="97" t="n">
        <v>10</v>
      </c>
      <c r="AB23" s="99"/>
      <c r="AC23" s="97" t="n">
        <v>12</v>
      </c>
      <c r="AD23" s="99"/>
      <c r="AE23" s="97" t="n">
        <v>11</v>
      </c>
      <c r="AF23" s="99"/>
      <c r="AG23" s="97" t="n">
        <v>9</v>
      </c>
      <c r="AH23" s="97"/>
    </row>
    <row r="24" customFormat="false" ht="17.35" hidden="false" customHeight="false" outlineLevel="0" collapsed="false">
      <c r="C24" s="2" t="s">
        <v>129</v>
      </c>
      <c r="E24" s="2" t="n">
        <f aca="false">E20/1.5</f>
        <v>7</v>
      </c>
      <c r="H24" s="2" t="n">
        <v>2</v>
      </c>
      <c r="I24" s="102" t="n">
        <f aca="false">H24*$H$16</f>
        <v>1.76075566087414</v>
      </c>
      <c r="J24" s="95" t="n">
        <f aca="false">I24</f>
        <v>1.76075566087414</v>
      </c>
      <c r="K24" s="2" t="n">
        <v>2</v>
      </c>
      <c r="L24" s="102" t="n">
        <f aca="false">K24*$K$16</f>
        <v>1.6682</v>
      </c>
      <c r="M24" s="95" t="n">
        <f aca="false">L24</f>
        <v>1.6682</v>
      </c>
      <c r="Y24" s="2" t="s">
        <v>167</v>
      </c>
      <c r="Z24" s="93"/>
      <c r="AA24" s="97" t="n">
        <f aca="false">AA23-(AA16+AA20)</f>
        <v>6.1708385567956</v>
      </c>
      <c r="AB24" s="99"/>
      <c r="AC24" s="97" t="n">
        <f aca="false">AC23-(AC16+AC20)</f>
        <v>7.1297011160373</v>
      </c>
      <c r="AD24" s="99"/>
      <c r="AE24" s="97" t="n">
        <f aca="false">AE23-(AE16+AE20)</f>
        <v>6.58846888854915</v>
      </c>
      <c r="AF24" s="99"/>
      <c r="AG24" s="97" t="n">
        <f aca="false">AG23-(AG16+AG20)</f>
        <v>6.13917978902308</v>
      </c>
      <c r="AH24" s="97"/>
    </row>
    <row r="25" customFormat="false" ht="17.35" hidden="false" customHeight="false" outlineLevel="0" collapsed="false">
      <c r="C25" s="2" t="s">
        <v>168</v>
      </c>
      <c r="E25" s="2" t="n">
        <f aca="false">E22/1.5</f>
        <v>4.77224126903553</v>
      </c>
      <c r="H25" s="2" t="n">
        <v>3</v>
      </c>
      <c r="I25" s="102" t="n">
        <f aca="false">H25*$H$16</f>
        <v>2.64113349131122</v>
      </c>
      <c r="J25" s="95" t="n">
        <f aca="false">I25</f>
        <v>2.64113349131122</v>
      </c>
      <c r="K25" s="2" t="n">
        <v>3</v>
      </c>
      <c r="L25" s="102" t="n">
        <f aca="false">K25*$K$16</f>
        <v>2.5023</v>
      </c>
      <c r="M25" s="95" t="n">
        <f aca="false">L25</f>
        <v>2.5023</v>
      </c>
      <c r="Y25" s="2" t="s">
        <v>169</v>
      </c>
      <c r="Z25" s="103"/>
      <c r="AA25" s="104" t="n">
        <f aca="false">AA24/AA23</f>
        <v>0.61708385567956</v>
      </c>
      <c r="AB25" s="105"/>
      <c r="AC25" s="104" t="n">
        <f aca="false">AC24/AC23</f>
        <v>0.594141759669775</v>
      </c>
      <c r="AD25" s="105"/>
      <c r="AE25" s="104" t="n">
        <f aca="false">AE24/AE23</f>
        <v>0.598951717140832</v>
      </c>
      <c r="AF25" s="105"/>
      <c r="AG25" s="104" t="n">
        <f aca="false">AG24/AG23</f>
        <v>0.682131087669231</v>
      </c>
      <c r="AH25" s="104"/>
    </row>
    <row r="26" customFormat="false" ht="17.35" hidden="false" customHeight="false" outlineLevel="0" collapsed="false">
      <c r="H26" s="2" t="n">
        <v>4</v>
      </c>
      <c r="I26" s="102" t="n">
        <f aca="false">H26*$H$16</f>
        <v>3.52151132174829</v>
      </c>
      <c r="J26" s="95" t="n">
        <f aca="false">I26</f>
        <v>3.52151132174829</v>
      </c>
      <c r="K26" s="2" t="n">
        <v>4</v>
      </c>
      <c r="L26" s="102" t="n">
        <f aca="false">K26*$K$16</f>
        <v>3.3364</v>
      </c>
      <c r="M26" s="95" t="n">
        <f aca="false">L26</f>
        <v>3.3364</v>
      </c>
      <c r="Y26" s="2" t="s">
        <v>170</v>
      </c>
      <c r="Z26" s="103"/>
      <c r="AA26" s="104" t="n">
        <f aca="false">AA23-AA22</f>
        <v>0.170838556795601</v>
      </c>
      <c r="AB26" s="105"/>
      <c r="AC26" s="104" t="n">
        <f aca="false">AC23-AC22</f>
        <v>1.1297011160373</v>
      </c>
      <c r="AD26" s="105"/>
      <c r="AE26" s="104" t="n">
        <f aca="false">AE23-AE22</f>
        <v>0.588468888549151</v>
      </c>
      <c r="AF26" s="105"/>
      <c r="AG26" s="104" t="n">
        <f aca="false">AG23-AG22</f>
        <v>0.13917978902308</v>
      </c>
      <c r="AH26" s="104"/>
    </row>
    <row r="27" customFormat="false" ht="17.35" hidden="false" customHeight="false" outlineLevel="0" collapsed="false">
      <c r="H27" s="2" t="n">
        <v>5</v>
      </c>
      <c r="I27" s="102" t="n">
        <f aca="false">H27*$H$16</f>
        <v>4.40188915218536</v>
      </c>
      <c r="J27" s="95" t="n">
        <f aca="false">I27</f>
        <v>4.40188915218536</v>
      </c>
      <c r="K27" s="2" t="n">
        <v>5</v>
      </c>
      <c r="L27" s="102" t="n">
        <f aca="false">K27*$K$16</f>
        <v>4.1705</v>
      </c>
      <c r="M27" s="95" t="n">
        <f aca="false">L27</f>
        <v>4.1705</v>
      </c>
    </row>
    <row r="28" customFormat="false" ht="17.35" hidden="false" customHeight="false" outlineLevel="0" collapsed="false">
      <c r="H28" s="2" t="n">
        <v>6</v>
      </c>
      <c r="I28" s="102" t="n">
        <f aca="false">H28*$H$16</f>
        <v>5.28226698262243</v>
      </c>
      <c r="J28" s="95" t="n">
        <f aca="false">I28</f>
        <v>5.28226698262243</v>
      </c>
      <c r="K28" s="2" t="n">
        <v>6</v>
      </c>
      <c r="L28" s="102" t="n">
        <f aca="false">K28*$K$16</f>
        <v>5.0046</v>
      </c>
      <c r="M28" s="95" t="n">
        <f aca="false">L28</f>
        <v>5.0046</v>
      </c>
      <c r="Y28" s="2" t="s">
        <v>171</v>
      </c>
      <c r="AC28" s="1"/>
      <c r="AD28" s="1"/>
      <c r="AE28" s="1"/>
      <c r="AF28" s="1"/>
    </row>
    <row r="29" customFormat="false" ht="17.35" hidden="false" customHeight="false" outlineLevel="0" collapsed="false">
      <c r="H29" s="2" t="n">
        <v>7</v>
      </c>
      <c r="I29" s="102" t="n">
        <f aca="false">H29*$H$16</f>
        <v>6.1626448130595</v>
      </c>
      <c r="J29" s="95" t="n">
        <f aca="false">I29</f>
        <v>6.1626448130595</v>
      </c>
      <c r="K29" s="2" t="n">
        <v>7</v>
      </c>
      <c r="L29" s="102" t="n">
        <f aca="false">K29*$K$16</f>
        <v>5.8387</v>
      </c>
      <c r="M29" s="95" t="n">
        <f aca="false">L29</f>
        <v>5.8387</v>
      </c>
      <c r="AC29" s="1"/>
      <c r="AD29" s="1"/>
      <c r="AE29" s="1"/>
      <c r="AF29" s="1"/>
    </row>
    <row r="30" customFormat="false" ht="17.35" hidden="false" customHeight="false" outlineLevel="0" collapsed="false">
      <c r="H30" s="2" t="n">
        <v>8</v>
      </c>
      <c r="I30" s="102" t="n">
        <f aca="false">H30*$H$16</f>
        <v>7.04302264349658</v>
      </c>
      <c r="J30" s="95" t="n">
        <f aca="false">I30</f>
        <v>7.04302264349658</v>
      </c>
      <c r="K30" s="2" t="n">
        <v>8</v>
      </c>
      <c r="L30" s="102" t="n">
        <f aca="false">K30*$K$16</f>
        <v>6.6728</v>
      </c>
      <c r="M30" s="95" t="n">
        <f aca="false">L30</f>
        <v>6.6728</v>
      </c>
      <c r="Y30" s="2" t="s">
        <v>99</v>
      </c>
      <c r="Z30" s="102" t="n">
        <v>4</v>
      </c>
      <c r="AC30" s="1"/>
      <c r="AD30" s="1"/>
      <c r="AE30" s="1"/>
      <c r="AF30" s="1"/>
    </row>
    <row r="31" customFormat="false" ht="17.35" hidden="false" customHeight="false" outlineLevel="0" collapsed="false">
      <c r="H31" s="2" t="n">
        <v>9</v>
      </c>
      <c r="I31" s="102" t="n">
        <f aca="false">H31*$H$16</f>
        <v>7.92340047393365</v>
      </c>
      <c r="J31" s="95" t="n">
        <f aca="false">I31</f>
        <v>7.92340047393365</v>
      </c>
      <c r="K31" s="2" t="n">
        <v>9</v>
      </c>
      <c r="L31" s="102" t="n">
        <f aca="false">K31*$K$16</f>
        <v>7.5069</v>
      </c>
      <c r="M31" s="95" t="n">
        <f aca="false">L31</f>
        <v>7.5069</v>
      </c>
      <c r="Y31" s="2" t="s">
        <v>57</v>
      </c>
      <c r="Z31" s="102" t="n">
        <v>4.1</v>
      </c>
      <c r="AC31" s="1"/>
      <c r="AD31" s="1"/>
      <c r="AE31" s="1"/>
      <c r="AF31" s="1"/>
    </row>
    <row r="32" customFormat="false" ht="17.35" hidden="false" customHeight="false" outlineLevel="0" collapsed="false">
      <c r="H32" s="2" t="n">
        <v>10</v>
      </c>
      <c r="I32" s="102" t="n">
        <f aca="false">H32*$H$16</f>
        <v>8.80377830437072</v>
      </c>
      <c r="J32" s="95" t="n">
        <f aca="false">I32</f>
        <v>8.80377830437072</v>
      </c>
      <c r="K32" s="2" t="n">
        <v>10</v>
      </c>
      <c r="L32" s="102" t="n">
        <f aca="false">K32*$K$16</f>
        <v>8.341</v>
      </c>
      <c r="M32" s="95" t="n">
        <f aca="false">L32</f>
        <v>8.341</v>
      </c>
      <c r="Y32" s="2" t="s">
        <v>172</v>
      </c>
      <c r="Z32" s="102" t="n">
        <f aca="false">4.1/1.055</f>
        <v>3.88625592417062</v>
      </c>
      <c r="AC32" s="1"/>
      <c r="AD32" s="1"/>
      <c r="AE32" s="1"/>
      <c r="AF32" s="1"/>
    </row>
    <row r="33" customFormat="false" ht="17.35" hidden="false" customHeight="false" outlineLevel="0" collapsed="false">
      <c r="H33" s="2" t="n">
        <v>11</v>
      </c>
      <c r="I33" s="102" t="n">
        <f aca="false">H33*$H$16</f>
        <v>9.68415613480779</v>
      </c>
      <c r="J33" s="95" t="n">
        <f aca="false">I33</f>
        <v>9.68415613480779</v>
      </c>
      <c r="K33" s="2" t="n">
        <v>11</v>
      </c>
      <c r="L33" s="102" t="n">
        <f aca="false">K33*$K$16</f>
        <v>9.1751</v>
      </c>
      <c r="M33" s="95" t="n">
        <f aca="false">L33</f>
        <v>9.1751</v>
      </c>
      <c r="Y33" s="2" t="s">
        <v>173</v>
      </c>
      <c r="Z33" s="102" t="n">
        <f aca="false">5/1.055</f>
        <v>4.739336492891</v>
      </c>
    </row>
    <row r="34" customFormat="false" ht="17.35" hidden="false" customHeight="false" outlineLevel="0" collapsed="false">
      <c r="Y34" s="2" t="s">
        <v>174</v>
      </c>
      <c r="Z34" s="102" t="n">
        <f aca="false">14/1.055</f>
        <v>13.2701421800948</v>
      </c>
    </row>
    <row r="35" customFormat="false" ht="17.35" hidden="false" customHeight="false" outlineLevel="0" collapsed="false">
      <c r="Y35" s="2" t="s">
        <v>175</v>
      </c>
      <c r="Z35" s="102" t="n">
        <f aca="false">32/1.055</f>
        <v>30.3317535545024</v>
      </c>
    </row>
    <row r="36" customFormat="false" ht="17.35" hidden="false" customHeight="false" outlineLevel="0" collapsed="false">
      <c r="Y36" s="106" t="s">
        <v>176</v>
      </c>
      <c r="Z36" s="107" t="n">
        <f aca="false">6/1.055</f>
        <v>5.68720379146919</v>
      </c>
    </row>
    <row r="37" customFormat="false" ht="17.35" hidden="false" customHeight="false" outlineLevel="0" collapsed="false">
      <c r="Y37" s="2" t="s">
        <v>177</v>
      </c>
      <c r="Z37" s="102" t="n">
        <f aca="false">20/1.055</f>
        <v>18.957345971564</v>
      </c>
    </row>
    <row r="38" customFormat="false" ht="17.35" hidden="false" customHeight="false" outlineLevel="0" collapsed="false">
      <c r="Y38" s="2" t="s">
        <v>96</v>
      </c>
      <c r="Z38" s="102" t="n">
        <v>1.8</v>
      </c>
    </row>
    <row r="39" customFormat="false" ht="17.35" hidden="false" customHeight="false" outlineLevel="0" collapsed="false">
      <c r="Y39" s="2" t="s">
        <v>178</v>
      </c>
      <c r="Z39" s="102" t="n">
        <f aca="false">30</f>
        <v>30</v>
      </c>
    </row>
    <row r="40" customFormat="false" ht="17.35" hidden="false" customHeight="false" outlineLevel="0" collapsed="false">
      <c r="Y40" s="2" t="s">
        <v>179</v>
      </c>
      <c r="Z40" s="102" t="n">
        <f aca="false">10.02/1.055</f>
        <v>9.49763033175356</v>
      </c>
    </row>
    <row r="41" customFormat="false" ht="17.35" hidden="false" customHeight="false" outlineLevel="0" collapsed="false">
      <c r="Y41" s="2" t="s">
        <v>180</v>
      </c>
      <c r="Z41" s="102" t="n">
        <f aca="false">10.5/1.055</f>
        <v>9.95260663507109</v>
      </c>
    </row>
    <row r="43" customFormat="false" ht="17.35" hidden="false" customHeight="false" outlineLevel="0" collapsed="false">
      <c r="W43" s="2" t="s">
        <v>181</v>
      </c>
    </row>
    <row r="45" customFormat="false" ht="17.35" hidden="false" customHeight="false" outlineLevel="0" collapsed="false">
      <c r="W45" s="2" t="s">
        <v>182</v>
      </c>
    </row>
    <row r="46" customFormat="false" ht="17.35" hidden="false" customHeight="false" outlineLevel="0" collapsed="false">
      <c r="W46" s="2" t="s">
        <v>183</v>
      </c>
      <c r="Y46" s="1"/>
      <c r="Z46" s="2" t="s">
        <v>184</v>
      </c>
    </row>
    <row r="47" customFormat="false" ht="17.35" hidden="false" customHeight="false" outlineLevel="0" collapsed="false">
      <c r="W47" s="2" t="s">
        <v>185</v>
      </c>
      <c r="Y47" s="1"/>
      <c r="Z47" s="108" t="n">
        <v>1.1</v>
      </c>
    </row>
    <row r="48" customFormat="false" ht="17.35" hidden="false" customHeight="false" outlineLevel="0" collapsed="false">
      <c r="Y48" s="1"/>
      <c r="Z48" s="108" t="n">
        <v>0.9</v>
      </c>
    </row>
  </sheetData>
  <mergeCells count="4">
    <mergeCell ref="Z2:AA2"/>
    <mergeCell ref="AB2:AC2"/>
    <mergeCell ref="AD2:AE2"/>
    <mergeCell ref="AF2:AG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false" showOutlineSymbols="true" defaultGridColor="true" view="normal" topLeftCell="A67" colorId="64" zoomScale="100" zoomScaleNormal="100" zoomScalePageLayoutView="100" workbookViewId="0">
      <selection pane="topLeft" activeCell="B98" activeCellId="1" sqref="D9:D22 B98"/>
    </sheetView>
  </sheetViews>
  <sheetFormatPr defaultColWidth="10.16015625" defaultRowHeight="17.35" zeroHeight="false" outlineLevelRow="0" outlineLevelCol="0"/>
  <cols>
    <col collapsed="false" customWidth="false" hidden="false" outlineLevel="0" max="16384" min="1" style="2" width="10.16"/>
  </cols>
  <sheetData>
    <row r="1" customFormat="false" ht="17.35" hidden="false" customHeight="false" outlineLevel="0" collapsed="false">
      <c r="A1" s="2" t="n">
        <v>35</v>
      </c>
      <c r="B1" s="1"/>
    </row>
    <row r="2" customFormat="false" ht="17.35" hidden="false" customHeight="false" outlineLevel="0" collapsed="false">
      <c r="B2" s="2" t="s">
        <v>186</v>
      </c>
    </row>
    <row r="3" customFormat="false" ht="17.35" hidden="false" customHeight="false" outlineLevel="0" collapsed="false">
      <c r="A3" s="1"/>
      <c r="B3" s="2" t="s">
        <v>187</v>
      </c>
    </row>
    <row r="4" customFormat="false" ht="17.35" hidden="false" customHeight="false" outlineLevel="0" collapsed="false">
      <c r="A4" s="2" t="n">
        <v>36</v>
      </c>
    </row>
    <row r="5" customFormat="false" ht="17.35" hidden="false" customHeight="false" outlineLevel="0" collapsed="false">
      <c r="B5" s="2" t="s">
        <v>188</v>
      </c>
    </row>
    <row r="6" customFormat="false" ht="17.35" hidden="false" customHeight="false" outlineLevel="0" collapsed="false">
      <c r="B6" s="2" t="s">
        <v>189</v>
      </c>
    </row>
    <row r="7" customFormat="false" ht="17.35" hidden="false" customHeight="false" outlineLevel="0" collapsed="false">
      <c r="A7" s="2" t="n">
        <v>37</v>
      </c>
    </row>
    <row r="8" customFormat="false" ht="17.35" hidden="false" customHeight="false" outlineLevel="0" collapsed="false">
      <c r="B8" s="2" t="s">
        <v>190</v>
      </c>
    </row>
    <row r="9" customFormat="false" ht="17.35" hidden="false" customHeight="false" outlineLevel="0" collapsed="false">
      <c r="B9" s="2" t="s">
        <v>191</v>
      </c>
    </row>
    <row r="10" customFormat="false" ht="17.35" hidden="false" customHeight="false" outlineLevel="0" collapsed="false">
      <c r="B10" s="2" t="s">
        <v>192</v>
      </c>
    </row>
    <row r="11" customFormat="false" ht="17.35" hidden="false" customHeight="false" outlineLevel="0" collapsed="false">
      <c r="A11" s="2" t="n">
        <v>38</v>
      </c>
    </row>
    <row r="12" customFormat="false" ht="17.35" hidden="false" customHeight="false" outlineLevel="0" collapsed="false">
      <c r="B12" s="2" t="s">
        <v>193</v>
      </c>
    </row>
    <row r="13" customFormat="false" ht="17.35" hidden="false" customHeight="false" outlineLevel="0" collapsed="false">
      <c r="B13" s="2" t="s">
        <v>194</v>
      </c>
    </row>
    <row r="14" customFormat="false" ht="17.35" hidden="false" customHeight="false" outlineLevel="0" collapsed="false">
      <c r="B14" s="2" t="s">
        <v>195</v>
      </c>
    </row>
    <row r="15" customFormat="false" ht="17.35" hidden="false" customHeight="false" outlineLevel="0" collapsed="false">
      <c r="A15" s="2" t="n">
        <v>39</v>
      </c>
    </row>
    <row r="16" customFormat="false" ht="17.35" hidden="false" customHeight="false" outlineLevel="0" collapsed="false">
      <c r="B16" s="2" t="s">
        <v>196</v>
      </c>
    </row>
    <row r="17" customFormat="false" ht="17.35" hidden="false" customHeight="false" outlineLevel="0" collapsed="false">
      <c r="A17" s="2" t="n">
        <v>40</v>
      </c>
    </row>
    <row r="18" customFormat="false" ht="17.35" hidden="false" customHeight="false" outlineLevel="0" collapsed="false">
      <c r="B18" s="2" t="s">
        <v>197</v>
      </c>
    </row>
    <row r="19" customFormat="false" ht="17.35" hidden="false" customHeight="false" outlineLevel="0" collapsed="false">
      <c r="B19" s="2" t="s">
        <v>198</v>
      </c>
    </row>
    <row r="20" customFormat="false" ht="17.35" hidden="false" customHeight="false" outlineLevel="0" collapsed="false">
      <c r="B20" s="2" t="s">
        <v>199</v>
      </c>
    </row>
    <row r="21" customFormat="false" ht="17.35" hidden="false" customHeight="false" outlineLevel="0" collapsed="false">
      <c r="B21" s="2" t="s">
        <v>200</v>
      </c>
    </row>
    <row r="22" customFormat="false" ht="17.35" hidden="false" customHeight="false" outlineLevel="0" collapsed="false">
      <c r="A22" s="2" t="n">
        <v>41</v>
      </c>
    </row>
    <row r="23" customFormat="false" ht="17.35" hidden="false" customHeight="false" outlineLevel="0" collapsed="false">
      <c r="B23" s="2" t="s">
        <v>201</v>
      </c>
    </row>
    <row r="24" customFormat="false" ht="17.35" hidden="false" customHeight="false" outlineLevel="0" collapsed="false">
      <c r="B24" s="2" t="s">
        <v>202</v>
      </c>
    </row>
    <row r="25" customFormat="false" ht="17.35" hidden="false" customHeight="false" outlineLevel="0" collapsed="false">
      <c r="A25" s="2" t="n">
        <v>42</v>
      </c>
    </row>
    <row r="26" customFormat="false" ht="17.35" hidden="false" customHeight="false" outlineLevel="0" collapsed="false">
      <c r="B26" s="2" t="s">
        <v>203</v>
      </c>
    </row>
    <row r="27" customFormat="false" ht="17.35" hidden="false" customHeight="false" outlineLevel="0" collapsed="false">
      <c r="B27" s="2" t="s">
        <v>204</v>
      </c>
    </row>
    <row r="28" customFormat="false" ht="17.35" hidden="false" customHeight="false" outlineLevel="0" collapsed="false">
      <c r="B28" s="2" t="s">
        <v>205</v>
      </c>
    </row>
    <row r="29" customFormat="false" ht="17.35" hidden="false" customHeight="false" outlineLevel="0" collapsed="false">
      <c r="B29" s="2" t="s">
        <v>206</v>
      </c>
    </row>
    <row r="30" customFormat="false" ht="17.35" hidden="false" customHeight="false" outlineLevel="0" collapsed="false">
      <c r="A30" s="2" t="n">
        <v>43</v>
      </c>
    </row>
    <row r="31" customFormat="false" ht="17.35" hidden="false" customHeight="false" outlineLevel="0" collapsed="false">
      <c r="B31" s="2" t="s">
        <v>207</v>
      </c>
    </row>
    <row r="32" customFormat="false" ht="17.35" hidden="false" customHeight="false" outlineLevel="0" collapsed="false">
      <c r="A32" s="2" t="n">
        <v>44</v>
      </c>
    </row>
    <row r="33" customFormat="false" ht="17.35" hidden="false" customHeight="false" outlineLevel="0" collapsed="false">
      <c r="B33" s="2" t="s">
        <v>208</v>
      </c>
    </row>
    <row r="34" customFormat="false" ht="17.35" hidden="false" customHeight="false" outlineLevel="0" collapsed="false">
      <c r="B34" s="2" t="s">
        <v>209</v>
      </c>
    </row>
    <row r="35" customFormat="false" ht="17.35" hidden="false" customHeight="false" outlineLevel="0" collapsed="false">
      <c r="A35" s="2" t="n">
        <v>45</v>
      </c>
    </row>
    <row r="36" customFormat="false" ht="17.35" hidden="false" customHeight="false" outlineLevel="0" collapsed="false">
      <c r="B36" s="2" t="s">
        <v>210</v>
      </c>
    </row>
    <row r="37" customFormat="false" ht="17.35" hidden="false" customHeight="false" outlineLevel="0" collapsed="false">
      <c r="B37" s="2" t="s">
        <v>211</v>
      </c>
    </row>
    <row r="38" customFormat="false" ht="17.35" hidden="false" customHeight="false" outlineLevel="0" collapsed="false">
      <c r="A38" s="2" t="n">
        <v>46</v>
      </c>
    </row>
    <row r="39" customFormat="false" ht="17.35" hidden="false" customHeight="false" outlineLevel="0" collapsed="false">
      <c r="B39" s="2" t="s">
        <v>212</v>
      </c>
    </row>
    <row r="40" customFormat="false" ht="17.35" hidden="false" customHeight="false" outlineLevel="0" collapsed="false">
      <c r="A40" s="2" t="n">
        <v>47</v>
      </c>
    </row>
    <row r="41" customFormat="false" ht="17.35" hidden="false" customHeight="false" outlineLevel="0" collapsed="false">
      <c r="B41" s="2" t="s">
        <v>213</v>
      </c>
    </row>
    <row r="42" customFormat="false" ht="17.35" hidden="false" customHeight="false" outlineLevel="0" collapsed="false">
      <c r="B42" s="2" t="s">
        <v>214</v>
      </c>
    </row>
    <row r="43" customFormat="false" ht="17.35" hidden="false" customHeight="false" outlineLevel="0" collapsed="false">
      <c r="A43" s="2" t="n">
        <v>48</v>
      </c>
    </row>
    <row r="44" customFormat="false" ht="17.35" hidden="false" customHeight="false" outlineLevel="0" collapsed="false">
      <c r="B44" s="2" t="s">
        <v>215</v>
      </c>
    </row>
    <row r="45" customFormat="false" ht="17.35" hidden="false" customHeight="false" outlineLevel="0" collapsed="false">
      <c r="B45" s="2" t="s">
        <v>216</v>
      </c>
    </row>
    <row r="46" customFormat="false" ht="17.35" hidden="false" customHeight="false" outlineLevel="0" collapsed="false">
      <c r="B46" s="2" t="s">
        <v>217</v>
      </c>
    </row>
    <row r="47" customFormat="false" ht="17.35" hidden="false" customHeight="false" outlineLevel="0" collapsed="false">
      <c r="B47" s="2" t="s">
        <v>218</v>
      </c>
    </row>
    <row r="48" customFormat="false" ht="17.35" hidden="false" customHeight="false" outlineLevel="0" collapsed="false">
      <c r="B48" s="2" t="s">
        <v>219</v>
      </c>
    </row>
    <row r="49" customFormat="false" ht="17.35" hidden="false" customHeight="false" outlineLevel="0" collapsed="false">
      <c r="B49" s="2" t="s">
        <v>220</v>
      </c>
    </row>
    <row r="50" customFormat="false" ht="17.35" hidden="false" customHeight="false" outlineLevel="0" collapsed="false">
      <c r="A50" s="2" t="n">
        <v>49</v>
      </c>
    </row>
    <row r="51" customFormat="false" ht="17.35" hidden="false" customHeight="false" outlineLevel="0" collapsed="false">
      <c r="B51" s="2" t="s">
        <v>221</v>
      </c>
    </row>
    <row r="52" customFormat="false" ht="17.35" hidden="false" customHeight="false" outlineLevel="0" collapsed="false">
      <c r="B52" s="2" t="s">
        <v>222</v>
      </c>
    </row>
    <row r="53" customFormat="false" ht="17.35" hidden="false" customHeight="false" outlineLevel="0" collapsed="false">
      <c r="A53" s="2" t="n">
        <v>50</v>
      </c>
    </row>
    <row r="54" customFormat="false" ht="17.35" hidden="false" customHeight="false" outlineLevel="0" collapsed="false">
      <c r="B54" s="2" t="s">
        <v>223</v>
      </c>
    </row>
    <row r="55" customFormat="false" ht="17.35" hidden="false" customHeight="false" outlineLevel="0" collapsed="false">
      <c r="B55" s="2" t="s">
        <v>224</v>
      </c>
    </row>
    <row r="56" customFormat="false" ht="17.35" hidden="false" customHeight="false" outlineLevel="0" collapsed="false">
      <c r="A56" s="2" t="n">
        <v>51</v>
      </c>
    </row>
    <row r="57" customFormat="false" ht="17.35" hidden="false" customHeight="false" outlineLevel="0" collapsed="false">
      <c r="B57" s="2" t="s">
        <v>225</v>
      </c>
    </row>
    <row r="58" customFormat="false" ht="17.35" hidden="false" customHeight="false" outlineLevel="0" collapsed="false">
      <c r="A58" s="2" t="n">
        <v>52</v>
      </c>
    </row>
    <row r="59" customFormat="false" ht="17.35" hidden="false" customHeight="false" outlineLevel="0" collapsed="false">
      <c r="B59" s="2" t="s">
        <v>226</v>
      </c>
    </row>
    <row r="60" customFormat="false" ht="17.35" hidden="false" customHeight="false" outlineLevel="0" collapsed="false">
      <c r="B60" s="2" t="s">
        <v>227</v>
      </c>
    </row>
    <row r="61" customFormat="false" ht="17.35" hidden="false" customHeight="false" outlineLevel="0" collapsed="false">
      <c r="B61" s="2" t="s">
        <v>228</v>
      </c>
    </row>
    <row r="62" customFormat="false" ht="17.35" hidden="false" customHeight="false" outlineLevel="0" collapsed="false">
      <c r="A62" s="2" t="n">
        <v>52.1</v>
      </c>
    </row>
    <row r="63" customFormat="false" ht="17.35" hidden="false" customHeight="false" outlineLevel="0" collapsed="false">
      <c r="B63" s="2" t="s">
        <v>229</v>
      </c>
    </row>
    <row r="64" customFormat="false" ht="17.35" hidden="false" customHeight="false" outlineLevel="0" collapsed="false">
      <c r="A64" s="2" t="n">
        <v>52.2</v>
      </c>
    </row>
    <row r="65" customFormat="false" ht="17.35" hidden="false" customHeight="false" outlineLevel="0" collapsed="false">
      <c r="B65" s="2" t="s">
        <v>230</v>
      </c>
    </row>
    <row r="66" customFormat="false" ht="17.35" hidden="false" customHeight="false" outlineLevel="0" collapsed="false">
      <c r="B66" s="2" t="s">
        <v>231</v>
      </c>
    </row>
    <row r="67" customFormat="false" ht="17.35" hidden="false" customHeight="false" outlineLevel="0" collapsed="false">
      <c r="A67" s="2" t="n">
        <v>54</v>
      </c>
    </row>
    <row r="68" customFormat="false" ht="17.35" hidden="false" customHeight="false" outlineLevel="0" collapsed="false">
      <c r="B68" s="2" t="s">
        <v>232</v>
      </c>
    </row>
    <row r="69" customFormat="false" ht="17.35" hidden="false" customHeight="false" outlineLevel="0" collapsed="false">
      <c r="A69" s="2" t="n">
        <v>55</v>
      </c>
    </row>
    <row r="70" customFormat="false" ht="17.35" hidden="false" customHeight="false" outlineLevel="0" collapsed="false">
      <c r="B70" s="2" t="s">
        <v>233</v>
      </c>
    </row>
    <row r="71" customFormat="false" ht="17.35" hidden="false" customHeight="false" outlineLevel="0" collapsed="false">
      <c r="B71" s="2" t="s">
        <v>234</v>
      </c>
    </row>
    <row r="72" customFormat="false" ht="17.35" hidden="false" customHeight="false" outlineLevel="0" collapsed="false">
      <c r="B72" s="2" t="s">
        <v>235</v>
      </c>
    </row>
    <row r="73" customFormat="false" ht="17.35" hidden="false" customHeight="false" outlineLevel="0" collapsed="false">
      <c r="B73" s="2" t="s">
        <v>236</v>
      </c>
    </row>
    <row r="74" customFormat="false" ht="17.35" hidden="false" customHeight="false" outlineLevel="0" collapsed="false">
      <c r="A74" s="2" t="n">
        <v>56</v>
      </c>
    </row>
    <row r="75" customFormat="false" ht="17.35" hidden="false" customHeight="false" outlineLevel="0" collapsed="false">
      <c r="B75" s="2" t="s">
        <v>237</v>
      </c>
    </row>
    <row r="76" customFormat="false" ht="17.35" hidden="false" customHeight="false" outlineLevel="0" collapsed="false">
      <c r="B76" s="2" t="s">
        <v>238</v>
      </c>
    </row>
    <row r="77" customFormat="false" ht="17.35" hidden="false" customHeight="false" outlineLevel="0" collapsed="false">
      <c r="B77" s="2" t="s">
        <v>239</v>
      </c>
    </row>
    <row r="78" customFormat="false" ht="17.35" hidden="false" customHeight="false" outlineLevel="0" collapsed="false">
      <c r="B78" s="2" t="s">
        <v>240</v>
      </c>
    </row>
    <row r="79" customFormat="false" ht="17.35" hidden="false" customHeight="false" outlineLevel="0" collapsed="false">
      <c r="A79" s="2" t="n">
        <v>57</v>
      </c>
    </row>
    <row r="80" customFormat="false" ht="17.35" hidden="false" customHeight="false" outlineLevel="0" collapsed="false">
      <c r="B80" s="2" t="s">
        <v>241</v>
      </c>
    </row>
    <row r="81" customFormat="false" ht="17.35" hidden="false" customHeight="false" outlineLevel="0" collapsed="false">
      <c r="B81" s="2" t="s">
        <v>242</v>
      </c>
    </row>
    <row r="82" customFormat="false" ht="17.35" hidden="false" customHeight="false" outlineLevel="0" collapsed="false">
      <c r="B82" s="2" t="s">
        <v>243</v>
      </c>
    </row>
    <row r="83" customFormat="false" ht="17.35" hidden="false" customHeight="false" outlineLevel="0" collapsed="false">
      <c r="B83" s="2" t="s">
        <v>244</v>
      </c>
    </row>
    <row r="84" customFormat="false" ht="17.35" hidden="false" customHeight="false" outlineLevel="0" collapsed="false">
      <c r="A84" s="2" t="n">
        <v>58</v>
      </c>
    </row>
    <row r="85" customFormat="false" ht="17.35" hidden="false" customHeight="false" outlineLevel="0" collapsed="false">
      <c r="B85" s="2" t="s">
        <v>245</v>
      </c>
    </row>
    <row r="86" customFormat="false" ht="17.35" hidden="false" customHeight="false" outlineLevel="0" collapsed="false">
      <c r="B86" s="2" t="s">
        <v>246</v>
      </c>
    </row>
    <row r="87" customFormat="false" ht="17.35" hidden="false" customHeight="false" outlineLevel="0" collapsed="false">
      <c r="B87" s="2" t="s">
        <v>247</v>
      </c>
    </row>
    <row r="88" customFormat="false" ht="17.35" hidden="false" customHeight="false" outlineLevel="0" collapsed="false">
      <c r="B88" s="2" t="s">
        <v>248</v>
      </c>
    </row>
    <row r="89" customFormat="false" ht="17.35" hidden="false" customHeight="false" outlineLevel="0" collapsed="false">
      <c r="A89" s="2" t="n">
        <v>59</v>
      </c>
    </row>
    <row r="90" customFormat="false" ht="17.35" hidden="false" customHeight="false" outlineLevel="0" collapsed="false">
      <c r="B90" s="2" t="s">
        <v>249</v>
      </c>
    </row>
    <row r="91" customFormat="false" ht="17.35" hidden="false" customHeight="false" outlineLevel="0" collapsed="false">
      <c r="A91" s="2" t="n">
        <v>60</v>
      </c>
    </row>
    <row r="92" customFormat="false" ht="17.35" hidden="false" customHeight="false" outlineLevel="0" collapsed="false">
      <c r="B92" s="2" t="s">
        <v>250</v>
      </c>
    </row>
    <row r="93" customFormat="false" ht="17.35" hidden="false" customHeight="false" outlineLevel="0" collapsed="false">
      <c r="B93" s="2" t="s">
        <v>251</v>
      </c>
    </row>
    <row r="94" customFormat="false" ht="17.35" hidden="false" customHeight="false" outlineLevel="0" collapsed="false">
      <c r="B94" s="2" t="s">
        <v>252</v>
      </c>
    </row>
    <row r="95" customFormat="false" ht="17.35" hidden="false" customHeight="false" outlineLevel="0" collapsed="false">
      <c r="A95" s="2" t="n">
        <v>61</v>
      </c>
    </row>
    <row r="96" customFormat="false" ht="17.35" hidden="false" customHeight="false" outlineLevel="0" collapsed="false">
      <c r="B96" s="2" t="s">
        <v>253</v>
      </c>
    </row>
    <row r="97" customFormat="false" ht="17.35" hidden="false" customHeight="false" outlineLevel="0" collapsed="false">
      <c r="B97" s="2" t="s">
        <v>254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3" activeCellId="1" sqref="D9:D22 G23"/>
    </sheetView>
  </sheetViews>
  <sheetFormatPr defaultColWidth="10.16015625" defaultRowHeight="12.8" zeroHeight="false" outlineLevelRow="0" outlineLevelCol="0"/>
  <cols>
    <col collapsed="false" customWidth="true" hidden="false" outlineLevel="0" max="1" min="1" style="1" width="20.5"/>
  </cols>
  <sheetData>
    <row r="1" customFormat="false" ht="13.8" hidden="false" customHeight="false" outlineLevel="0" collapsed="false"/>
    <row r="2" customFormat="false" ht="13.8" hidden="false" customHeight="false" outlineLevel="0" collapsed="false">
      <c r="A2" s="1" t="s">
        <v>255</v>
      </c>
      <c r="C2" s="1" t="s">
        <v>256</v>
      </c>
      <c r="M2" s="1" t="s">
        <v>257</v>
      </c>
    </row>
    <row r="3" customFormat="false" ht="13.8" hidden="false" customHeight="false" outlineLevel="0" collapsed="false">
      <c r="A3" s="1" t="s">
        <v>258</v>
      </c>
      <c r="M3" s="1" t="s">
        <v>259</v>
      </c>
    </row>
    <row r="4" customFormat="false" ht="13.8" hidden="false" customHeight="false" outlineLevel="0" collapsed="false">
      <c r="A4" s="1" t="s">
        <v>260</v>
      </c>
      <c r="C4" s="1" t="s">
        <v>261</v>
      </c>
    </row>
    <row r="5" customFormat="false" ht="13.8" hidden="false" customHeight="false" outlineLevel="0" collapsed="false">
      <c r="C5" s="1" t="s">
        <v>262</v>
      </c>
      <c r="M5" s="1" t="s">
        <v>263</v>
      </c>
    </row>
    <row r="6" customFormat="false" ht="13.8" hidden="false" customHeight="false" outlineLevel="0" collapsed="false"/>
    <row r="7" customFormat="false" ht="13.8" hidden="false" customHeight="false" outlineLevel="0" collapsed="false">
      <c r="M7" s="1" t="s">
        <v>264</v>
      </c>
    </row>
    <row r="8" customFormat="false" ht="13.8" hidden="false" customHeight="false" outlineLevel="0" collapsed="false"/>
    <row r="9" customFormat="false" ht="13.8" hidden="false" customHeight="false" outlineLevel="0" collapsed="false">
      <c r="M9" s="1" t="s">
        <v>265</v>
      </c>
    </row>
    <row r="10" customFormat="false" ht="13.8" hidden="false" customHeight="false" outlineLevel="0" collapsed="false"/>
    <row r="11" customFormat="false" ht="13.8" hidden="false" customHeight="false" outlineLevel="0" collapsed="false">
      <c r="M11" s="1" t="s">
        <v>266</v>
      </c>
    </row>
    <row r="12" customFormat="false" ht="13.8" hidden="false" customHeight="false" outlineLevel="0" collapsed="false">
      <c r="M12" s="1" t="s">
        <v>267</v>
      </c>
    </row>
    <row r="13" customFormat="false" ht="13.8" hidden="false" customHeight="false" outlineLevel="0" collapsed="false">
      <c r="M13" s="1" t="s">
        <v>268</v>
      </c>
    </row>
    <row r="14" customFormat="false" ht="13.8" hidden="false" customHeight="false" outlineLevel="0" collapsed="false"/>
    <row r="15" customFormat="false" ht="13.8" hidden="false" customHeight="false" outlineLevel="0" collapsed="false">
      <c r="M15" s="1" t="s">
        <v>269</v>
      </c>
    </row>
    <row r="16" customFormat="false" ht="13.8" hidden="false" customHeight="false" outlineLevel="0" collapsed="false"/>
    <row r="17" customFormat="false" ht="13.8" hidden="false" customHeight="false" outlineLevel="0" collapsed="false">
      <c r="M17" s="1" t="s">
        <v>270</v>
      </c>
    </row>
    <row r="18" customFormat="false" ht="13.8" hidden="false" customHeight="false" outlineLevel="0" collapsed="false"/>
    <row r="19" customFormat="false" ht="13.8" hidden="false" customHeight="false" outlineLevel="0" collapsed="false">
      <c r="M19" s="1" t="s">
        <v>271</v>
      </c>
    </row>
    <row r="20" customFormat="false" ht="13.8" hidden="false" customHeight="false" outlineLevel="0" collapsed="false"/>
    <row r="21" customFormat="false" ht="13.8" hidden="false" customHeight="false" outlineLevel="0" collapsed="false">
      <c r="M21" s="1" t="s">
        <v>272</v>
      </c>
    </row>
    <row r="22" customFormat="false" ht="13.8" hidden="false" customHeight="false" outlineLevel="0" collapsed="false"/>
    <row r="23" customFormat="false" ht="13.8" hidden="false" customHeight="false" outlineLevel="0" collapsed="false">
      <c r="M23" s="1" t="s">
        <v>273</v>
      </c>
    </row>
    <row r="24" customFormat="false" ht="13.8" hidden="false" customHeight="false" outlineLevel="0" collapsed="false"/>
    <row r="25" customFormat="false" ht="13.8" hidden="false" customHeight="false" outlineLevel="0" collapsed="false">
      <c r="M25" s="1" t="s">
        <v>274</v>
      </c>
    </row>
    <row r="26" customFormat="false" ht="13.8" hidden="false" customHeight="false" outlineLevel="0" collapsed="false"/>
    <row r="27" customFormat="false" ht="13.8" hidden="false" customHeight="false" outlineLevel="0" collapsed="false">
      <c r="M27" s="1" t="s">
        <v>275</v>
      </c>
    </row>
    <row r="28" customFormat="false" ht="13.8" hidden="false" customHeight="false" outlineLevel="0" collapsed="false"/>
    <row r="29" customFormat="false" ht="13.8" hidden="false" customHeight="false" outlineLevel="0" collapsed="false">
      <c r="M29" s="1" t="s">
        <v>276</v>
      </c>
    </row>
    <row r="30" customFormat="false" ht="13.8" hidden="false" customHeight="false" outlineLevel="0" collapsed="false"/>
    <row r="31" customFormat="false" ht="13.8" hidden="false" customHeight="false" outlineLevel="0" collapsed="false">
      <c r="M31" s="1" t="s">
        <v>277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46161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cp:lastPrinted>2025-04-24T19:21:23Z</cp:lastPrinted>
  <dcterms:modified xsi:type="dcterms:W3CDTF">2025-05-27T21:57:26Z</dcterms:modified>
  <cp:revision>172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