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/>
  <mc:AlternateContent xmlns:mc="http://schemas.openxmlformats.org/markup-compatibility/2006">
    <mc:Choice Requires="x15">
      <x15ac:absPath xmlns:x15ac="http://schemas.microsoft.com/office/spreadsheetml/2010/11/ac" url="C:\Users\zvado\Dropbox\01-FOURNIL\tableau calcul quantité\"/>
    </mc:Choice>
  </mc:AlternateContent>
  <xr:revisionPtr revIDLastSave="0" documentId="13_ncr:1_{A03A73DD-A44B-4859-98F7-DA12DCACBA88}" xr6:coauthVersionLast="36" xr6:coauthVersionMax="36" xr10:uidLastSave="{00000000-0000-0000-0000-000000000000}"/>
  <bookViews>
    <workbookView xWindow="-60" yWindow="-60" windowWidth="15480" windowHeight="11640" activeTab="1" xr2:uid="{00000000-000D-0000-FFFF-FFFF00000000}"/>
  </bookViews>
  <sheets>
    <sheet name="Recettes direct" sheetId="1" r:id="rId1"/>
    <sheet name="calcul direct" sheetId="2" r:id="rId2"/>
    <sheet name="Recettes pointage long" sheetId="3" r:id="rId3"/>
    <sheet name="calcul long" sheetId="4" r:id="rId4"/>
  </sheets>
  <definedNames>
    <definedName name="_xlnm.Print_Area" localSheetId="1">'calcul direct'!$A$1:$L$44</definedName>
  </definedNames>
  <calcPr calcId="191029"/>
  <extLst>
    <ext xmlns:x14="http://schemas.microsoft.com/office/spreadsheetml/2009/9/main" uri="{79F54976-1DA5-4618-B147-4CDE4B953A38}">
      <x14:workbookPr defaultImageDpi="330"/>
    </ext>
  </extLst>
</workbook>
</file>

<file path=xl/calcChain.xml><?xml version="1.0" encoding="utf-8"?>
<calcChain xmlns="http://schemas.openxmlformats.org/spreadsheetml/2006/main">
  <c r="R5" i="1" l="1"/>
  <c r="R6" i="1"/>
  <c r="R9" i="1"/>
  <c r="R10" i="1"/>
  <c r="R13" i="1"/>
  <c r="R14" i="1"/>
  <c r="Q15" i="1"/>
  <c r="R3" i="1" s="1"/>
  <c r="N3" i="1"/>
  <c r="N7" i="1"/>
  <c r="N11" i="1"/>
  <c r="P3" i="1"/>
  <c r="P6" i="1"/>
  <c r="P7" i="1"/>
  <c r="P10" i="1"/>
  <c r="P11" i="1"/>
  <c r="O15" i="1"/>
  <c r="P4" i="1" s="1"/>
  <c r="M15" i="1"/>
  <c r="N4" i="1" s="1"/>
  <c r="K15" i="1"/>
  <c r="N10" i="1" l="1"/>
  <c r="N6" i="1"/>
  <c r="R12" i="1"/>
  <c r="R8" i="1"/>
  <c r="L31" i="2" s="1"/>
  <c r="R4" i="1"/>
  <c r="P9" i="1"/>
  <c r="P5" i="1"/>
  <c r="N2" i="1"/>
  <c r="N15" i="1" s="1"/>
  <c r="N9" i="1"/>
  <c r="N5" i="1"/>
  <c r="P12" i="1"/>
  <c r="P8" i="1"/>
  <c r="N12" i="1"/>
  <c r="N8" i="1"/>
  <c r="R2" i="1"/>
  <c r="L29" i="2" s="1"/>
  <c r="R11" i="1"/>
  <c r="L32" i="2" s="1"/>
  <c r="E14" i="2" s="1"/>
  <c r="R7" i="1"/>
  <c r="E7" i="4"/>
  <c r="P22" i="4" s="1"/>
  <c r="E6" i="4"/>
  <c r="N22" i="4" s="1"/>
  <c r="E5" i="4"/>
  <c r="E4" i="4"/>
  <c r="E3" i="4"/>
  <c r="E2" i="4"/>
  <c r="E13" i="2"/>
  <c r="D34" i="2" s="1"/>
  <c r="E19" i="2"/>
  <c r="I32" i="2" s="1"/>
  <c r="E18" i="2"/>
  <c r="E16" i="2"/>
  <c r="E15" i="2"/>
  <c r="E9" i="2"/>
  <c r="E41" i="2"/>
  <c r="E10" i="2"/>
  <c r="E11" i="2"/>
  <c r="E37" i="2" s="1"/>
  <c r="E3" i="2"/>
  <c r="E4" i="2"/>
  <c r="E5" i="2"/>
  <c r="E6" i="2"/>
  <c r="E7" i="2"/>
  <c r="D37" i="2" s="1"/>
  <c r="E9" i="4"/>
  <c r="E10" i="4"/>
  <c r="E11" i="4"/>
  <c r="E12" i="4"/>
  <c r="E13" i="4"/>
  <c r="E14" i="4"/>
  <c r="B18" i="4"/>
  <c r="I18" i="4"/>
  <c r="I19" i="4"/>
  <c r="L23" i="4"/>
  <c r="L24" i="4" s="1"/>
  <c r="N23" i="4"/>
  <c r="P23" i="4"/>
  <c r="C13" i="3"/>
  <c r="E13" i="3"/>
  <c r="G13" i="3"/>
  <c r="I13" i="3"/>
  <c r="K13" i="3"/>
  <c r="M13" i="3"/>
  <c r="C14" i="3"/>
  <c r="E14" i="3"/>
  <c r="E15" i="3" s="1"/>
  <c r="G14" i="3"/>
  <c r="G15" i="3" s="1"/>
  <c r="I14" i="3"/>
  <c r="K14" i="3"/>
  <c r="M14" i="3"/>
  <c r="M15" i="3" s="1"/>
  <c r="C15" i="3"/>
  <c r="I15" i="3"/>
  <c r="K15" i="3"/>
  <c r="E8" i="2"/>
  <c r="B41" i="2" s="1"/>
  <c r="J9" i="2"/>
  <c r="E17" i="2"/>
  <c r="F24" i="2" s="1"/>
  <c r="E20" i="2"/>
  <c r="L37" i="2"/>
  <c r="C38" i="2"/>
  <c r="C39" i="2" s="1"/>
  <c r="D38" i="2"/>
  <c r="L11" i="2" s="1"/>
  <c r="E38" i="2"/>
  <c r="L38" i="2"/>
  <c r="L39" i="2"/>
  <c r="L40" i="2"/>
  <c r="L41" i="2"/>
  <c r="L13" i="2" s="1"/>
  <c r="B42" i="2"/>
  <c r="E42" i="2"/>
  <c r="L42" i="2"/>
  <c r="B43" i="2"/>
  <c r="E43" i="2"/>
  <c r="L43" i="2"/>
  <c r="L30" i="2"/>
  <c r="L33" i="2"/>
  <c r="C15" i="1"/>
  <c r="E15" i="1"/>
  <c r="G15" i="1"/>
  <c r="I15" i="1"/>
  <c r="L15" i="1"/>
  <c r="P2" i="1"/>
  <c r="P15" i="1" s="1"/>
  <c r="C16" i="1"/>
  <c r="E16" i="1"/>
  <c r="E17" i="1" s="1"/>
  <c r="G16" i="1"/>
  <c r="G17" i="1" s="1"/>
  <c r="I16" i="1"/>
  <c r="K16" i="1"/>
  <c r="M16" i="1"/>
  <c r="M17" i="1" s="1"/>
  <c r="C17" i="1"/>
  <c r="I17" i="1"/>
  <c r="K17" i="1"/>
  <c r="F30" i="2"/>
  <c r="F27" i="2"/>
  <c r="F33" i="2"/>
  <c r="L12" i="2" s="1"/>
  <c r="L22" i="4" l="1"/>
  <c r="I30" i="2"/>
  <c r="I27" i="2"/>
  <c r="F25" i="2"/>
  <c r="F32" i="2"/>
  <c r="F29" i="2"/>
  <c r="F31" i="2"/>
  <c r="F28" i="2"/>
  <c r="N3" i="3"/>
  <c r="T3" i="4" s="1"/>
  <c r="N7" i="3"/>
  <c r="T7" i="4" s="1"/>
  <c r="N11" i="3"/>
  <c r="T11" i="4" s="1"/>
  <c r="N4" i="3"/>
  <c r="T4" i="4" s="1"/>
  <c r="N12" i="3"/>
  <c r="T12" i="4" s="1"/>
  <c r="N5" i="3"/>
  <c r="T5" i="4" s="1"/>
  <c r="N2" i="3"/>
  <c r="N10" i="3"/>
  <c r="T10" i="4" s="1"/>
  <c r="N8" i="3"/>
  <c r="T8" i="4" s="1"/>
  <c r="N9" i="3"/>
  <c r="T9" i="4" s="1"/>
  <c r="N6" i="3"/>
  <c r="T6" i="4" s="1"/>
  <c r="I23" i="2"/>
  <c r="F26" i="2"/>
  <c r="F23" i="2"/>
  <c r="I26" i="2"/>
  <c r="R15" i="1"/>
  <c r="B37" i="2"/>
  <c r="J22" i="4"/>
  <c r="I25" i="2"/>
  <c r="I31" i="2"/>
  <c r="I29" i="2"/>
  <c r="I28" i="2"/>
  <c r="I24" i="2"/>
  <c r="I34" i="2"/>
  <c r="F3" i="2"/>
  <c r="C37" i="2"/>
  <c r="F2" i="4"/>
  <c r="L2" i="1"/>
  <c r="L3" i="1"/>
  <c r="G24" i="2" s="1"/>
  <c r="L4" i="1"/>
  <c r="G25" i="2" s="1"/>
  <c r="L5" i="1"/>
  <c r="G26" i="2" s="1"/>
  <c r="L6" i="1"/>
  <c r="G27" i="2" s="1"/>
  <c r="L7" i="1"/>
  <c r="G28" i="2" s="1"/>
  <c r="L8" i="1"/>
  <c r="G29" i="2" s="1"/>
  <c r="L9" i="1"/>
  <c r="G30" i="2" s="1"/>
  <c r="L10" i="1"/>
  <c r="G31" i="2" s="1"/>
  <c r="L11" i="1"/>
  <c r="G32" i="2" s="1"/>
  <c r="L12" i="1"/>
  <c r="G34" i="2" s="1"/>
  <c r="J2" i="1"/>
  <c r="H23" i="2" s="1"/>
  <c r="J3" i="1"/>
  <c r="H24" i="2" s="1"/>
  <c r="J4" i="1"/>
  <c r="H25" i="2" s="1"/>
  <c r="J5" i="1"/>
  <c r="H26" i="2" s="1"/>
  <c r="J6" i="1"/>
  <c r="H27" i="2" s="1"/>
  <c r="J7" i="1"/>
  <c r="H28" i="2" s="1"/>
  <c r="J8" i="1"/>
  <c r="H29" i="2" s="1"/>
  <c r="J9" i="1"/>
  <c r="H30" i="2" s="1"/>
  <c r="I42" i="2" s="1"/>
  <c r="J10" i="1"/>
  <c r="H31" i="2" s="1"/>
  <c r="J11" i="1"/>
  <c r="H32" i="2" s="1"/>
  <c r="I44" i="2" s="1"/>
  <c r="J12" i="1"/>
  <c r="H34" i="2" s="1"/>
  <c r="H2" i="1"/>
  <c r="E23" i="2" s="1"/>
  <c r="H3" i="1"/>
  <c r="E24" i="2" s="1"/>
  <c r="H4" i="1"/>
  <c r="E25" i="2" s="1"/>
  <c r="H5" i="1"/>
  <c r="E26" i="2" s="1"/>
  <c r="H6" i="1"/>
  <c r="E27" i="2" s="1"/>
  <c r="H7" i="1"/>
  <c r="E28" i="2" s="1"/>
  <c r="H8" i="1"/>
  <c r="E29" i="2" s="1"/>
  <c r="H9" i="1"/>
  <c r="E30" i="2" s="1"/>
  <c r="H10" i="1"/>
  <c r="E31" i="2" s="1"/>
  <c r="H11" i="1"/>
  <c r="E32" i="2" s="1"/>
  <c r="H12" i="1"/>
  <c r="E34" i="2" s="1"/>
  <c r="F2" i="1"/>
  <c r="D23" i="2" s="1"/>
  <c r="F3" i="1"/>
  <c r="D24" i="2" s="1"/>
  <c r="F4" i="1"/>
  <c r="D25" i="2" s="1"/>
  <c r="F5" i="1"/>
  <c r="D26" i="2" s="1"/>
  <c r="F6" i="1"/>
  <c r="D27" i="2" s="1"/>
  <c r="F7" i="1"/>
  <c r="D28" i="2" s="1"/>
  <c r="F8" i="1"/>
  <c r="D29" i="2" s="1"/>
  <c r="F9" i="1"/>
  <c r="D30" i="2" s="1"/>
  <c r="F10" i="1"/>
  <c r="D31" i="2" s="1"/>
  <c r="F11" i="1"/>
  <c r="D32" i="2" s="1"/>
  <c r="F12" i="1"/>
  <c r="D33" i="2" s="1"/>
  <c r="D2" i="1"/>
  <c r="D3" i="1"/>
  <c r="D4" i="1"/>
  <c r="D5" i="1"/>
  <c r="D6" i="1"/>
  <c r="D7" i="1"/>
  <c r="D8" i="1"/>
  <c r="D9" i="1"/>
  <c r="D10" i="1"/>
  <c r="D11" i="1"/>
  <c r="D12" i="1"/>
  <c r="L2" i="3"/>
  <c r="R2" i="4" s="1"/>
  <c r="L3" i="3"/>
  <c r="L4" i="3"/>
  <c r="L5" i="3"/>
  <c r="R5" i="4" s="1"/>
  <c r="L6" i="3"/>
  <c r="R6" i="4" s="1"/>
  <c r="L7" i="3"/>
  <c r="L8" i="3"/>
  <c r="L9" i="3"/>
  <c r="R9" i="4" s="1"/>
  <c r="L10" i="3"/>
  <c r="R10" i="4" s="1"/>
  <c r="L11" i="3"/>
  <c r="L12" i="3"/>
  <c r="R12" i="4" s="1"/>
  <c r="J2" i="3"/>
  <c r="P2" i="4" s="1"/>
  <c r="J3" i="3"/>
  <c r="P3" i="4" s="1"/>
  <c r="J4" i="3"/>
  <c r="P4" i="4" s="1"/>
  <c r="J5" i="3"/>
  <c r="P5" i="4" s="1"/>
  <c r="J6" i="3"/>
  <c r="P6" i="4" s="1"/>
  <c r="J7" i="3"/>
  <c r="P7" i="4" s="1"/>
  <c r="J8" i="3"/>
  <c r="P8" i="4" s="1"/>
  <c r="J9" i="3"/>
  <c r="P9" i="4" s="1"/>
  <c r="J10" i="3"/>
  <c r="P10" i="4" s="1"/>
  <c r="J11" i="3"/>
  <c r="P11" i="4" s="1"/>
  <c r="J12" i="3"/>
  <c r="P12" i="4" s="1"/>
  <c r="H2" i="3"/>
  <c r="H3" i="3"/>
  <c r="N3" i="4" s="1"/>
  <c r="H4" i="3"/>
  <c r="N4" i="4" s="1"/>
  <c r="H5" i="3"/>
  <c r="H6" i="3"/>
  <c r="H7" i="3"/>
  <c r="N7" i="4" s="1"/>
  <c r="H8" i="3"/>
  <c r="N8" i="4" s="1"/>
  <c r="H9" i="3"/>
  <c r="H10" i="3"/>
  <c r="N10" i="4" s="1"/>
  <c r="H11" i="3"/>
  <c r="N11" i="4" s="1"/>
  <c r="H12" i="3"/>
  <c r="N12" i="4" s="1"/>
  <c r="F2" i="3"/>
  <c r="L2" i="4" s="1"/>
  <c r="F3" i="3"/>
  <c r="L3" i="4" s="1"/>
  <c r="F4" i="3"/>
  <c r="L4" i="4" s="1"/>
  <c r="F5" i="3"/>
  <c r="L5" i="4" s="1"/>
  <c r="F6" i="3"/>
  <c r="L6" i="4" s="1"/>
  <c r="F7" i="3"/>
  <c r="L7" i="4" s="1"/>
  <c r="F8" i="3"/>
  <c r="L8" i="4" s="1"/>
  <c r="F9" i="3"/>
  <c r="L9" i="4" s="1"/>
  <c r="F10" i="3"/>
  <c r="L10" i="4" s="1"/>
  <c r="F11" i="3"/>
  <c r="L11" i="4" s="1"/>
  <c r="F12" i="3"/>
  <c r="L12" i="4" s="1"/>
  <c r="D2" i="3"/>
  <c r="D3" i="3"/>
  <c r="D4" i="3"/>
  <c r="D5" i="3"/>
  <c r="D6" i="3"/>
  <c r="D7" i="3"/>
  <c r="D8" i="3"/>
  <c r="D9" i="3"/>
  <c r="D10" i="3"/>
  <c r="D11" i="3"/>
  <c r="D12" i="3"/>
  <c r="R3" i="4"/>
  <c r="R4" i="4"/>
  <c r="R7" i="4"/>
  <c r="R8" i="4"/>
  <c r="R11" i="4"/>
  <c r="N2" i="4"/>
  <c r="N5" i="4"/>
  <c r="N6" i="4"/>
  <c r="N9" i="4"/>
  <c r="I37" i="2" l="1"/>
  <c r="I43" i="2"/>
  <c r="J10" i="4"/>
  <c r="J6" i="4"/>
  <c r="C28" i="2"/>
  <c r="C32" i="2"/>
  <c r="C24" i="2"/>
  <c r="C34" i="2"/>
  <c r="C29" i="2"/>
  <c r="C25" i="2"/>
  <c r="C31" i="2"/>
  <c r="L9" i="2" s="1"/>
  <c r="C27" i="2"/>
  <c r="C23" i="2"/>
  <c r="J2" i="4"/>
  <c r="N13" i="3"/>
  <c r="T2" i="4"/>
  <c r="J5" i="4"/>
  <c r="J12" i="4"/>
  <c r="J8" i="4"/>
  <c r="J4" i="4"/>
  <c r="J9" i="4"/>
  <c r="I39" i="2"/>
  <c r="J11" i="4"/>
  <c r="J7" i="4"/>
  <c r="J3" i="4"/>
  <c r="I38" i="2"/>
  <c r="I41" i="2"/>
  <c r="I40" i="2"/>
  <c r="C30" i="2"/>
  <c r="C26" i="2"/>
  <c r="I16" i="4"/>
  <c r="P13" i="4"/>
  <c r="I17" i="4"/>
  <c r="L13" i="3"/>
  <c r="L14" i="3"/>
  <c r="L15" i="3" s="1"/>
  <c r="H35" i="2"/>
  <c r="L10" i="2"/>
  <c r="M10" i="2" s="1"/>
  <c r="L16" i="1"/>
  <c r="L17" i="1" s="1"/>
  <c r="G23" i="2"/>
</calcChain>
</file>

<file path=xl/sharedStrings.xml><?xml version="1.0" encoding="utf-8"?>
<sst xmlns="http://schemas.openxmlformats.org/spreadsheetml/2006/main" count="253" uniqueCount="133">
  <si>
    <t>INGREDIENTS</t>
  </si>
  <si>
    <t>PRIX/Kg</t>
  </si>
  <si>
    <t>T80</t>
  </si>
  <si>
    <t>T110</t>
  </si>
  <si>
    <t>SEIGLE</t>
  </si>
  <si>
    <t>NORDIQUE</t>
  </si>
  <si>
    <t>EPEAUTRE</t>
  </si>
  <si>
    <t>EPEA/SEIGL</t>
  </si>
  <si>
    <t>SEIGLE FRUITS</t>
  </si>
  <si>
    <t>POTIMARRON</t>
  </si>
  <si>
    <t>FARINE T80</t>
  </si>
  <si>
    <t>FARINE T110</t>
  </si>
  <si>
    <t>FARINE T150</t>
  </si>
  <si>
    <t>SEIGLE 110</t>
  </si>
  <si>
    <t>SEIGLE 170</t>
  </si>
  <si>
    <t>EAU</t>
  </si>
  <si>
    <t>EAU DE BASSINAGE</t>
  </si>
  <si>
    <t>LEVAIN</t>
  </si>
  <si>
    <t>SEL</t>
  </si>
  <si>
    <t>GRAINES HYD 50%</t>
  </si>
  <si>
    <t>NOISETTES</t>
  </si>
  <si>
    <t>Poids total</t>
  </si>
  <si>
    <t>Coût de revient</t>
  </si>
  <si>
    <t>Coût de revient/Kg de pain</t>
  </si>
  <si>
    <t>380 levain passé à 320 le 02/08</t>
  </si>
  <si>
    <t>remis à 380gr et eau de 700 à 690gr le 04/11/20</t>
  </si>
  <si>
    <t>350 levain passé à 300 02/08</t>
  </si>
  <si>
    <t>remis à 350gr et eau de 660 à 652gr le 04/11/20</t>
  </si>
  <si>
    <t>600-550</t>
  </si>
  <si>
    <t>300-300</t>
  </si>
  <si>
    <t>100-150</t>
  </si>
  <si>
    <t xml:space="preserve">hydratation graines passée à 25% soit 60gr de graines et 30gr eau contre 60 et 60 avant </t>
  </si>
  <si>
    <t>pour graines et nordique</t>
  </si>
  <si>
    <t>modifié poids graines hyd dans nordique</t>
  </si>
  <si>
    <t>modifié poids pâte nécessaire pour graines dans calcul</t>
  </si>
  <si>
    <t>nordique et nature levain de 300 à 350 le 30/10/18</t>
  </si>
  <si>
    <t>graines dans nordik: 300+150gr eau</t>
  </si>
  <si>
    <t>le 04/11/20 on passe à 250gr + 125 eau</t>
  </si>
  <si>
    <t>Pains</t>
  </si>
  <si>
    <t>Nombre</t>
  </si>
  <si>
    <t>pâte/pain</t>
  </si>
  <si>
    <t>total/pain</t>
  </si>
  <si>
    <t>TOTAL</t>
  </si>
  <si>
    <t>Campagne 500g</t>
  </si>
  <si>
    <t>mardi soir</t>
  </si>
  <si>
    <t xml:space="preserve">Levain </t>
  </si>
  <si>
    <t>Campagne 1kg</t>
  </si>
  <si>
    <t>hydrater graines</t>
  </si>
  <si>
    <t>Graines 500g</t>
  </si>
  <si>
    <t>Graines 1kg</t>
  </si>
  <si>
    <t>Noix</t>
  </si>
  <si>
    <t xml:space="preserve">                                                    </t>
  </si>
  <si>
    <t>Chocolat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</si>
  <si>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</si>
  <si>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Raisins/Noisettes</t>
  </si>
  <si>
    <t>SZ</t>
  </si>
  <si>
    <t>MELANGE GRAINES SECHES</t>
  </si>
  <si>
    <t>olives</t>
  </si>
  <si>
    <t>NOIX</t>
  </si>
  <si>
    <t>FRUITS SECS</t>
  </si>
  <si>
    <t>autres</t>
  </si>
  <si>
    <t>Semi-complet</t>
  </si>
  <si>
    <t>6 p SZ</t>
  </si>
  <si>
    <t>LEVAIN BRIOCHE</t>
  </si>
  <si>
    <t>Potimarron</t>
  </si>
  <si>
    <t>Seigle</t>
  </si>
  <si>
    <t>6h</t>
  </si>
  <si>
    <t>Pétrir 2</t>
  </si>
  <si>
    <t>Nordique</t>
  </si>
  <si>
    <t>7h</t>
  </si>
  <si>
    <t>Façonner PL+ allumer four</t>
  </si>
  <si>
    <t>Seigle aux fruits</t>
  </si>
  <si>
    <t>8h</t>
  </si>
  <si>
    <t>Pétrir 3</t>
  </si>
  <si>
    <t>Epeautre</t>
  </si>
  <si>
    <t>Epeautre/seigle</t>
  </si>
  <si>
    <t>9h</t>
  </si>
  <si>
    <t>Four PL</t>
  </si>
  <si>
    <t>Brioches</t>
  </si>
  <si>
    <t>2400gr</t>
  </si>
  <si>
    <t>Façonner 2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</si>
  <si>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</si>
  <si>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11h</t>
  </si>
  <si>
    <t>Four 2</t>
  </si>
  <si>
    <t>60gr ingrédients passé à 50gr</t>
  </si>
  <si>
    <t>Façonner 3</t>
  </si>
  <si>
    <t>quantité de pâte augmentéé en cq</t>
  </si>
  <si>
    <t>le 04/11/20</t>
  </si>
  <si>
    <t>13h</t>
  </si>
  <si>
    <t>Four 3</t>
  </si>
  <si>
    <t>Levain</t>
  </si>
  <si>
    <t>Eau</t>
  </si>
  <si>
    <t>Sel</t>
  </si>
  <si>
    <t>Noisettes</t>
  </si>
  <si>
    <t>Campagne</t>
  </si>
  <si>
    <t>Graines</t>
  </si>
  <si>
    <t>Total Nordique + Nature</t>
  </si>
  <si>
    <t>Pâte T80</t>
  </si>
  <si>
    <t>t80</t>
  </si>
  <si>
    <t>Graines hyd et autres</t>
  </si>
  <si>
    <t>sucre</t>
  </si>
  <si>
    <t>graines sèches</t>
  </si>
  <si>
    <t>œufs</t>
  </si>
  <si>
    <t>beurre</t>
  </si>
  <si>
    <t>levain</t>
  </si>
  <si>
    <t>Cacao</t>
  </si>
  <si>
    <t>Raisins</t>
  </si>
  <si>
    <t>EAU DE BASS</t>
  </si>
  <si>
    <t>eau/lait</t>
  </si>
  <si>
    <t>Pépites</t>
  </si>
  <si>
    <t>pincée sel</t>
  </si>
  <si>
    <t>brioche</t>
  </si>
  <si>
    <t>total</t>
  </si>
  <si>
    <t>2600gr</t>
  </si>
  <si>
    <t>8h pointage</t>
  </si>
  <si>
    <t>4h apprêt</t>
  </si>
  <si>
    <t>4 boules de 130g soit 520gr</t>
  </si>
  <si>
    <t>5 brioches par kilo de farine</t>
  </si>
  <si>
    <t>16h pointage</t>
  </si>
  <si>
    <t>Pour T110,   PL:  720gr eau pour 1000gr de farine</t>
  </si>
  <si>
    <t>alors qu'en direct équivalence 740 gr eau pour 1000 gr de farine?)</t>
  </si>
  <si>
    <t>Nbre</t>
  </si>
  <si>
    <t>Muesli</t>
  </si>
  <si>
    <t>nombre pain</t>
  </si>
  <si>
    <t>MUESLI</t>
  </si>
  <si>
    <t>Graines hydratées,
noix ou muesli</t>
  </si>
  <si>
    <t>2 sarrazin (2G)</t>
  </si>
  <si>
    <t>350 gr sarrazin</t>
  </si>
  <si>
    <t>150 gr T80</t>
  </si>
  <si>
    <t>500 gr eau</t>
  </si>
  <si>
    <t>200 gr levain</t>
  </si>
  <si>
    <t>9 gr sel</t>
  </si>
  <si>
    <t>PROGRAMMATION DU  mercredi  30/08/2023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</si>
</sst>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&quot; €&quot;"/>
  </numFmts>
  <fonts count="14" x14ac:knownFonts="1">
    <font>
      <sz val="10"/>
      <name val="Arial"/>
      <family val="2"/>
    </font>
    <font>
      <b/>
      <sz val="10"/>
      <name val="Eras Medium ITC"/>
      <family val="2"/>
    </font>
    <font>
      <sz val="10"/>
      <name val="Eras Medium ITC"/>
      <family val="2"/>
    </font>
    <font>
      <b/>
      <sz val="18"/>
      <name val="Eras Medium ITC"/>
      <family val="2"/>
    </font>
    <font>
      <b/>
      <sz val="10"/>
      <name val="Arial"/>
      <family val="2"/>
    </font>
    <font>
      <sz val="14"/>
      <name val="Arial"/>
      <family val="2"/>
    </font>
    <font>
      <b/>
      <sz val="8"/>
      <name val="Arial"/>
      <family val="2"/>
    </font>
    <font>
      <b/>
      <sz val="12"/>
      <name val="Eras Medium ITC"/>
      <family val="2"/>
    </font>
    <font>
      <sz val="12"/>
      <name val="Arial"/>
      <family val="2"/>
    </font>
    <font>
      <sz val="8"/>
      <name val="Arial"/>
      <family val="2"/>
    </font>
    <font>
      <sz val="10"/>
      <color indexed="22"/>
      <name val="Arial"/>
      <family val="2"/>
    </font>
    <font>
      <sz val="9"/>
      <name val="Arial"/>
      <family val="2"/>
    </font>
    <font>
      <u/>
      <sz val="10"/>
      <name val="Arial"/>
      <family val="2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theme="0" tint="-0.14999847407452621"/>
        <bgColor indexed="64"/>
      </patternFill>
    </fill>
  </fills>
  <borders count="102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medium">
        <color indexed="64"/>
      </bottom>
      <diagonal/>
    </border>
  </borders>
  <cellStyleXfs count="1">
    <xf numFmtId="0" fontId="0" fillId="0" borderId="0"/>
  </cellStyleXfs>
  <cellXfs count="235">
    <xf numFmtId="0" fontId="0" fillId="0" borderId="0" xfId="0"/>
    <xf numFmtId="0" fontId="1" fillId="0" borderId="1" xfId="0" applyFont="1" applyBorder="1"/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164" fontId="2" fillId="0" borderId="4" xfId="0" applyNumberFormat="1" applyFont="1" applyBorder="1"/>
    <xf numFmtId="0" fontId="2" fillId="0" borderId="4" xfId="0" applyFont="1" applyFill="1" applyBorder="1"/>
    <xf numFmtId="0" fontId="2" fillId="0" borderId="5" xfId="0" applyFont="1" applyFill="1" applyBorder="1"/>
    <xf numFmtId="0" fontId="0" fillId="0" borderId="0" xfId="0" applyNumberFormat="1"/>
    <xf numFmtId="0" fontId="0" fillId="0" borderId="6" xfId="0" applyBorder="1"/>
    <xf numFmtId="0" fontId="1" fillId="0" borderId="7" xfId="0" applyFont="1" applyBorder="1"/>
    <xf numFmtId="164" fontId="2" fillId="0" borderId="7" xfId="0" applyNumberFormat="1" applyFont="1" applyBorder="1"/>
    <xf numFmtId="0" fontId="2" fillId="0" borderId="7" xfId="0" applyFont="1" applyFill="1" applyBorder="1"/>
    <xf numFmtId="0" fontId="2" fillId="0" borderId="8" xfId="0" applyFont="1" applyFill="1" applyBorder="1"/>
    <xf numFmtId="0" fontId="0" fillId="0" borderId="7" xfId="0" applyBorder="1"/>
    <xf numFmtId="0" fontId="1" fillId="0" borderId="9" xfId="0" applyFont="1" applyBorder="1"/>
    <xf numFmtId="164" fontId="2" fillId="0" borderId="9" xfId="0" applyNumberFormat="1" applyFont="1" applyBorder="1"/>
    <xf numFmtId="0" fontId="2" fillId="0" borderId="9" xfId="0" applyFont="1" applyFill="1" applyBorder="1"/>
    <xf numFmtId="0" fontId="2" fillId="0" borderId="10" xfId="0" applyFont="1" applyFill="1" applyBorder="1"/>
    <xf numFmtId="0" fontId="0" fillId="0" borderId="11" xfId="0" applyBorder="1"/>
    <xf numFmtId="0" fontId="1" fillId="0" borderId="1" xfId="0" applyFont="1" applyFill="1" applyBorder="1"/>
    <xf numFmtId="0" fontId="1" fillId="0" borderId="2" xfId="0" applyFont="1" applyFill="1" applyBorder="1"/>
    <xf numFmtId="0" fontId="1" fillId="0" borderId="12" xfId="0" applyFont="1" applyFill="1" applyBorder="1"/>
    <xf numFmtId="0" fontId="1" fillId="0" borderId="0" xfId="0" applyFont="1" applyFill="1" applyBorder="1"/>
    <xf numFmtId="0" fontId="0" fillId="0" borderId="1" xfId="0" applyBorder="1"/>
    <xf numFmtId="164" fontId="0" fillId="0" borderId="1" xfId="0" applyNumberFormat="1" applyFill="1" applyBorder="1"/>
    <xf numFmtId="164" fontId="0" fillId="0" borderId="2" xfId="0" applyNumberFormat="1" applyFill="1" applyBorder="1"/>
    <xf numFmtId="0" fontId="0" fillId="0" borderId="13" xfId="0" applyBorder="1"/>
    <xf numFmtId="16" fontId="0" fillId="0" borderId="0" xfId="0" applyNumberFormat="1"/>
    <xf numFmtId="14" fontId="0" fillId="0" borderId="0" xfId="0" applyNumberFormat="1"/>
    <xf numFmtId="0" fontId="4" fillId="0" borderId="3" xfId="0" applyFont="1" applyBorder="1"/>
    <xf numFmtId="0" fontId="4" fillId="0" borderId="14" xfId="0" applyFont="1" applyBorder="1"/>
    <xf numFmtId="0" fontId="4" fillId="0" borderId="15" xfId="0" applyFont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17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18" xfId="0" applyFont="1" applyBorder="1"/>
    <xf numFmtId="0" fontId="0" fillId="0" borderId="19" xfId="0" applyBorder="1"/>
    <xf numFmtId="0" fontId="0" fillId="0" borderId="20" xfId="0" applyBorder="1"/>
    <xf numFmtId="0" fontId="0" fillId="0" borderId="0" xfId="0" applyBorder="1" applyAlignment="1">
      <alignment horizontal="center" vertical="center"/>
    </xf>
    <xf numFmtId="0" fontId="0" fillId="0" borderId="4" xfId="0" applyFont="1" applyBorder="1"/>
    <xf numFmtId="0" fontId="4" fillId="0" borderId="21" xfId="0" applyFont="1" applyBorder="1"/>
    <xf numFmtId="0" fontId="0" fillId="0" borderId="22" xfId="0" applyBorder="1"/>
    <xf numFmtId="0" fontId="0" fillId="0" borderId="23" xfId="0" applyBorder="1"/>
    <xf numFmtId="0" fontId="4" fillId="0" borderId="24" xfId="0" applyFont="1" applyBorder="1"/>
    <xf numFmtId="0" fontId="0" fillId="0" borderId="25" xfId="0" applyBorder="1"/>
    <xf numFmtId="0" fontId="0" fillId="0" borderId="25" xfId="0" applyFill="1" applyBorder="1"/>
    <xf numFmtId="0" fontId="4" fillId="0" borderId="0" xfId="0" applyFont="1"/>
    <xf numFmtId="1" fontId="0" fillId="0" borderId="0" xfId="0" applyNumberFormat="1" applyAlignment="1">
      <alignment horizontal="left"/>
    </xf>
    <xf numFmtId="0" fontId="0" fillId="0" borderId="9" xfId="0" applyFont="1" applyBorder="1"/>
    <xf numFmtId="0" fontId="4" fillId="0" borderId="26" xfId="0" applyFont="1" applyBorder="1"/>
    <xf numFmtId="0" fontId="0" fillId="0" borderId="27" xfId="0" applyFill="1" applyBorder="1"/>
    <xf numFmtId="0" fontId="6" fillId="0" borderId="0" xfId="0" applyFont="1"/>
    <xf numFmtId="1" fontId="0" fillId="0" borderId="0" xfId="0" applyNumberFormat="1"/>
    <xf numFmtId="0" fontId="4" fillId="0" borderId="28" xfId="0" applyFont="1" applyBorder="1"/>
    <xf numFmtId="0" fontId="0" fillId="0" borderId="29" xfId="0" applyFill="1" applyBorder="1"/>
    <xf numFmtId="0" fontId="0" fillId="0" borderId="30" xfId="0" applyBorder="1"/>
    <xf numFmtId="0" fontId="4" fillId="0" borderId="6" xfId="0" applyFont="1" applyBorder="1"/>
    <xf numFmtId="0" fontId="0" fillId="0" borderId="19" xfId="0" applyFill="1" applyBorder="1"/>
    <xf numFmtId="0" fontId="0" fillId="0" borderId="31" xfId="0" applyFill="1" applyBorder="1"/>
    <xf numFmtId="0" fontId="0" fillId="0" borderId="0" xfId="0" applyFill="1" applyBorder="1"/>
    <xf numFmtId="0" fontId="0" fillId="0" borderId="22" xfId="0" applyFill="1" applyBorder="1"/>
    <xf numFmtId="0" fontId="0" fillId="0" borderId="32" xfId="0" applyFill="1" applyBorder="1"/>
    <xf numFmtId="0" fontId="4" fillId="0" borderId="7" xfId="0" applyFont="1" applyBorder="1"/>
    <xf numFmtId="0" fontId="0" fillId="0" borderId="33" xfId="0" applyFill="1" applyBorder="1"/>
    <xf numFmtId="0" fontId="0" fillId="0" borderId="0" xfId="0" applyAlignment="1">
      <alignment horizontal="left"/>
    </xf>
    <xf numFmtId="0" fontId="4" fillId="0" borderId="9" xfId="0" applyFont="1" applyBorder="1"/>
    <xf numFmtId="0" fontId="0" fillId="0" borderId="34" xfId="0" applyFill="1" applyBorder="1"/>
    <xf numFmtId="0" fontId="0" fillId="0" borderId="35" xfId="0" applyBorder="1"/>
    <xf numFmtId="0" fontId="0" fillId="0" borderId="11" xfId="0" applyFont="1" applyFill="1" applyBorder="1" applyAlignment="1">
      <alignment horizontal="left"/>
    </xf>
    <xf numFmtId="0" fontId="4" fillId="0" borderId="11" xfId="0" applyFont="1" applyBorder="1"/>
    <xf numFmtId="0" fontId="0" fillId="0" borderId="36" xfId="0" applyFill="1" applyBorder="1"/>
    <xf numFmtId="0" fontId="0" fillId="2" borderId="37" xfId="0" applyFont="1" applyFill="1" applyBorder="1" applyAlignment="1">
      <alignment horizontal="left"/>
    </xf>
    <xf numFmtId="0" fontId="4" fillId="0" borderId="1" xfId="0" applyFont="1" applyBorder="1"/>
    <xf numFmtId="0" fontId="0" fillId="0" borderId="15" xfId="0" applyFill="1" applyBorder="1"/>
    <xf numFmtId="0" fontId="0" fillId="0" borderId="16" xfId="0" applyFill="1" applyBorder="1"/>
    <xf numFmtId="0" fontId="0" fillId="0" borderId="2" xfId="0" applyFill="1" applyBorder="1"/>
    <xf numFmtId="0" fontId="0" fillId="0" borderId="38" xfId="0" applyFill="1" applyBorder="1"/>
    <xf numFmtId="0" fontId="4" fillId="0" borderId="38" xfId="0" applyFont="1" applyFill="1" applyBorder="1"/>
    <xf numFmtId="0" fontId="7" fillId="0" borderId="3" xfId="0" applyFont="1" applyFill="1" applyBorder="1" applyAlignment="1">
      <alignment horizontal="center"/>
    </xf>
    <xf numFmtId="0" fontId="7" fillId="0" borderId="39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7" fillId="0" borderId="40" xfId="0" applyFont="1" applyFill="1" applyBorder="1" applyAlignment="1">
      <alignment horizontal="center"/>
    </xf>
    <xf numFmtId="1" fontId="8" fillId="0" borderId="18" xfId="0" applyNumberFormat="1" applyFont="1" applyBorder="1"/>
    <xf numFmtId="1" fontId="8" fillId="0" borderId="3" xfId="0" applyNumberFormat="1" applyFont="1" applyBorder="1"/>
    <xf numFmtId="1" fontId="8" fillId="0" borderId="6" xfId="0" applyNumberFormat="1" applyFont="1" applyBorder="1"/>
    <xf numFmtId="1" fontId="8" fillId="0" borderId="41" xfId="0" applyNumberFormat="1" applyFont="1" applyBorder="1"/>
    <xf numFmtId="1" fontId="8" fillId="0" borderId="24" xfId="0" applyNumberFormat="1" applyFont="1" applyBorder="1"/>
    <xf numFmtId="1" fontId="8" fillId="0" borderId="7" xfId="0" applyNumberFormat="1" applyFont="1" applyBorder="1"/>
    <xf numFmtId="1" fontId="8" fillId="0" borderId="4" xfId="0" applyNumberFormat="1" applyFont="1" applyBorder="1"/>
    <xf numFmtId="1" fontId="8" fillId="0" borderId="8" xfId="0" applyNumberFormat="1" applyFont="1" applyBorder="1"/>
    <xf numFmtId="1" fontId="8" fillId="0" borderId="26" xfId="0" applyNumberFormat="1" applyFont="1" applyBorder="1"/>
    <xf numFmtId="1" fontId="8" fillId="0" borderId="9" xfId="0" applyNumberFormat="1" applyFont="1" applyBorder="1"/>
    <xf numFmtId="1" fontId="8" fillId="0" borderId="10" xfId="0" applyNumberFormat="1" applyFont="1" applyBorder="1"/>
    <xf numFmtId="1" fontId="8" fillId="0" borderId="28" xfId="0" applyNumberFormat="1" applyFont="1" applyBorder="1"/>
    <xf numFmtId="1" fontId="8" fillId="0" borderId="11" xfId="0" applyNumberFormat="1" applyFont="1" applyBorder="1"/>
    <xf numFmtId="1" fontId="8" fillId="0" borderId="13" xfId="0" applyNumberFormat="1" applyFont="1" applyBorder="1"/>
    <xf numFmtId="1" fontId="8" fillId="0" borderId="42" xfId="0" applyNumberFormat="1" applyFont="1" applyBorder="1"/>
    <xf numFmtId="1" fontId="9" fillId="0" borderId="0" xfId="0" applyNumberFormat="1" applyFont="1" applyAlignment="1">
      <alignment horizontal="right" vertical="center"/>
    </xf>
    <xf numFmtId="0" fontId="4" fillId="0" borderId="6" xfId="0" applyFont="1" applyBorder="1" applyAlignment="1">
      <alignment horizontal="right"/>
    </xf>
    <xf numFmtId="0" fontId="0" fillId="0" borderId="3" xfId="0" applyBorder="1"/>
    <xf numFmtId="0" fontId="2" fillId="0" borderId="19" xfId="0" applyFont="1" applyBorder="1" applyAlignment="1"/>
    <xf numFmtId="1" fontId="2" fillId="0" borderId="31" xfId="0" applyNumberFormat="1" applyFont="1" applyBorder="1" applyAlignment="1"/>
    <xf numFmtId="0" fontId="0" fillId="0" borderId="31" xfId="0" applyBorder="1"/>
    <xf numFmtId="0" fontId="4" fillId="0" borderId="11" xfId="0" applyFont="1" applyBorder="1" applyAlignment="1">
      <alignment horizontal="right" vertical="center" wrapText="1"/>
    </xf>
    <xf numFmtId="0" fontId="0" fillId="0" borderId="11" xfId="0" applyBorder="1" applyAlignment="1">
      <alignment vertical="center"/>
    </xf>
    <xf numFmtId="0" fontId="2" fillId="0" borderId="25" xfId="0" applyFont="1" applyBorder="1" applyAlignment="1"/>
    <xf numFmtId="1" fontId="2" fillId="0" borderId="33" xfId="0" applyNumberFormat="1" applyFont="1" applyBorder="1" applyAlignment="1"/>
    <xf numFmtId="0" fontId="0" fillId="0" borderId="33" xfId="0" applyBorder="1"/>
    <xf numFmtId="1" fontId="9" fillId="0" borderId="0" xfId="0" applyNumberFormat="1" applyFont="1"/>
    <xf numFmtId="1" fontId="10" fillId="0" borderId="0" xfId="0" applyNumberFormat="1" applyFont="1" applyAlignment="1">
      <alignment horizontal="left"/>
    </xf>
    <xf numFmtId="0" fontId="0" fillId="0" borderId="29" xfId="0" applyFont="1" applyBorder="1"/>
    <xf numFmtId="0" fontId="0" fillId="0" borderId="36" xfId="0" applyBorder="1"/>
    <xf numFmtId="0" fontId="2" fillId="0" borderId="29" xfId="0" applyFont="1" applyBorder="1" applyAlignment="1"/>
    <xf numFmtId="1" fontId="2" fillId="0" borderId="36" xfId="0" applyNumberFormat="1" applyFont="1" applyBorder="1" applyAlignment="1"/>
    <xf numFmtId="0" fontId="0" fillId="0" borderId="43" xfId="0" applyBorder="1"/>
    <xf numFmtId="0" fontId="4" fillId="0" borderId="2" xfId="0" applyFont="1" applyBorder="1"/>
    <xf numFmtId="0" fontId="0" fillId="0" borderId="44" xfId="0" applyFont="1" applyBorder="1"/>
    <xf numFmtId="0" fontId="0" fillId="0" borderId="45" xfId="0" applyBorder="1"/>
    <xf numFmtId="0" fontId="0" fillId="0" borderId="15" xfId="0" applyFont="1" applyBorder="1"/>
    <xf numFmtId="0" fontId="0" fillId="0" borderId="17" xfId="0" applyFont="1" applyBorder="1"/>
    <xf numFmtId="0" fontId="1" fillId="0" borderId="45" xfId="0" applyFont="1" applyFill="1" applyBorder="1"/>
    <xf numFmtId="0" fontId="1" fillId="0" borderId="43" xfId="0" applyFont="1" applyBorder="1"/>
    <xf numFmtId="0" fontId="1" fillId="0" borderId="3" xfId="0" applyFont="1" applyFill="1" applyBorder="1" applyAlignment="1">
      <alignment horizontal="center"/>
    </xf>
    <xf numFmtId="0" fontId="1" fillId="0" borderId="37" xfId="0" applyFont="1" applyFill="1" applyBorder="1" applyAlignment="1">
      <alignment horizontal="center"/>
    </xf>
    <xf numFmtId="0" fontId="1" fillId="0" borderId="40" xfId="0" applyFont="1" applyFill="1" applyBorder="1" applyAlignment="1">
      <alignment horizontal="center"/>
    </xf>
    <xf numFmtId="0" fontId="1" fillId="0" borderId="0" xfId="0" applyFont="1" applyBorder="1"/>
    <xf numFmtId="1" fontId="0" fillId="0" borderId="6" xfId="0" applyNumberFormat="1" applyBorder="1"/>
    <xf numFmtId="0" fontId="1" fillId="0" borderId="11" xfId="0" applyFont="1" applyBorder="1"/>
    <xf numFmtId="0" fontId="0" fillId="0" borderId="46" xfId="0" applyFill="1" applyBorder="1"/>
    <xf numFmtId="0" fontId="0" fillId="0" borderId="0" xfId="0" applyAlignment="1"/>
    <xf numFmtId="0" fontId="0" fillId="0" borderId="37" xfId="0" applyBorder="1" applyAlignment="1">
      <alignment horizontal="center"/>
    </xf>
    <xf numFmtId="0" fontId="0" fillId="0" borderId="18" xfId="0" applyBorder="1"/>
    <xf numFmtId="0" fontId="0" fillId="0" borderId="28" xfId="0" applyBorder="1" applyAlignment="1">
      <alignment vertical="center"/>
    </xf>
    <xf numFmtId="0" fontId="0" fillId="0" borderId="9" xfId="0" applyFont="1" applyFill="1" applyBorder="1" applyAlignment="1">
      <alignment horizontal="left"/>
    </xf>
    <xf numFmtId="0" fontId="0" fillId="0" borderId="47" xfId="0" applyFill="1" applyBorder="1"/>
    <xf numFmtId="0" fontId="0" fillId="0" borderId="48" xfId="0" applyBorder="1"/>
    <xf numFmtId="0" fontId="0" fillId="0" borderId="49" xfId="0" applyFill="1" applyBorder="1"/>
    <xf numFmtId="0" fontId="0" fillId="0" borderId="50" xfId="0" applyFill="1" applyBorder="1"/>
    <xf numFmtId="0" fontId="0" fillId="0" borderId="51" xfId="0" applyBorder="1"/>
    <xf numFmtId="0" fontId="2" fillId="0" borderId="0" xfId="0" applyFont="1" applyBorder="1" applyAlignment="1"/>
    <xf numFmtId="1" fontId="0" fillId="0" borderId="0" xfId="0" applyNumberFormat="1" applyFont="1" applyBorder="1"/>
    <xf numFmtId="1" fontId="0" fillId="0" borderId="52" xfId="0" applyNumberFormat="1" applyFont="1" applyBorder="1"/>
    <xf numFmtId="1" fontId="0" fillId="0" borderId="53" xfId="0" applyNumberFormat="1" applyFont="1" applyBorder="1"/>
    <xf numFmtId="1" fontId="0" fillId="0" borderId="54" xfId="0" applyNumberFormat="1" applyFont="1" applyBorder="1"/>
    <xf numFmtId="1" fontId="0" fillId="0" borderId="55" xfId="0" applyNumberFormat="1" applyFont="1" applyBorder="1"/>
    <xf numFmtId="1" fontId="0" fillId="0" borderId="56" xfId="0" applyNumberFormat="1" applyFont="1" applyBorder="1"/>
    <xf numFmtId="1" fontId="0" fillId="0" borderId="57" xfId="0" applyNumberFormat="1" applyFont="1" applyBorder="1"/>
    <xf numFmtId="0" fontId="7" fillId="0" borderId="43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58" xfId="0" applyFont="1" applyBorder="1" applyAlignment="1">
      <alignment horizontal="center"/>
    </xf>
    <xf numFmtId="0" fontId="7" fillId="0" borderId="41" xfId="0" applyFont="1" applyBorder="1" applyAlignment="1">
      <alignment horizontal="center"/>
    </xf>
    <xf numFmtId="0" fontId="7" fillId="0" borderId="59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60" xfId="0" applyFont="1" applyBorder="1" applyAlignment="1">
      <alignment horizontal="center"/>
    </xf>
    <xf numFmtId="0" fontId="7" fillId="0" borderId="42" xfId="0" applyFont="1" applyBorder="1" applyAlignment="1">
      <alignment horizontal="center"/>
    </xf>
    <xf numFmtId="1" fontId="0" fillId="0" borderId="61" xfId="0" applyNumberFormat="1" applyFont="1" applyBorder="1" applyAlignment="1">
      <alignment horizontal="center" vertical="center"/>
    </xf>
    <xf numFmtId="1" fontId="11" fillId="0" borderId="62" xfId="0" applyNumberFormat="1" applyFont="1" applyBorder="1" applyAlignment="1">
      <alignment horizontal="center" vertical="center"/>
    </xf>
    <xf numFmtId="0" fontId="4" fillId="0" borderId="63" xfId="0" applyFont="1" applyBorder="1" applyAlignment="1">
      <alignment horizontal="right"/>
    </xf>
    <xf numFmtId="0" fontId="4" fillId="0" borderId="64" xfId="0" applyFont="1" applyBorder="1" applyAlignment="1">
      <alignment horizontal="right"/>
    </xf>
    <xf numFmtId="1" fontId="4" fillId="0" borderId="65" xfId="0" applyNumberFormat="1" applyFont="1" applyBorder="1" applyAlignment="1">
      <alignment horizontal="right" vertical="center"/>
    </xf>
    <xf numFmtId="1" fontId="4" fillId="0" borderId="66" xfId="0" applyNumberFormat="1" applyFont="1" applyBorder="1" applyAlignment="1">
      <alignment horizontal="right" vertical="center"/>
    </xf>
    <xf numFmtId="0" fontId="0" fillId="0" borderId="67" xfId="0" applyBorder="1"/>
    <xf numFmtId="0" fontId="0" fillId="0" borderId="68" xfId="0" applyBorder="1"/>
    <xf numFmtId="0" fontId="0" fillId="0" borderId="69" xfId="0" applyBorder="1"/>
    <xf numFmtId="0" fontId="0" fillId="0" borderId="62" xfId="0" applyBorder="1"/>
    <xf numFmtId="0" fontId="0" fillId="0" borderId="70" xfId="0" applyBorder="1"/>
    <xf numFmtId="0" fontId="1" fillId="0" borderId="38" xfId="0" applyFont="1" applyBorder="1"/>
    <xf numFmtId="164" fontId="2" fillId="0" borderId="71" xfId="0" applyNumberFormat="1" applyFont="1" applyBorder="1"/>
    <xf numFmtId="164" fontId="2" fillId="0" borderId="44" xfId="0" applyNumberFormat="1" applyFont="1" applyBorder="1"/>
    <xf numFmtId="0" fontId="1" fillId="0" borderId="13" xfId="0" applyFont="1" applyFill="1" applyBorder="1"/>
    <xf numFmtId="0" fontId="0" fillId="0" borderId="55" xfId="0" applyBorder="1"/>
    <xf numFmtId="0" fontId="0" fillId="0" borderId="56" xfId="0" applyBorder="1"/>
    <xf numFmtId="0" fontId="0" fillId="0" borderId="72" xfId="0" applyBorder="1"/>
    <xf numFmtId="0" fontId="2" fillId="0" borderId="21" xfId="0" applyFont="1" applyFill="1" applyBorder="1"/>
    <xf numFmtId="0" fontId="2" fillId="0" borderId="0" xfId="0" applyFont="1" applyFill="1" applyBorder="1"/>
    <xf numFmtId="0" fontId="0" fillId="0" borderId="73" xfId="0" applyNumberFormat="1" applyBorder="1"/>
    <xf numFmtId="0" fontId="0" fillId="0" borderId="74" xfId="0" applyNumberFormat="1" applyBorder="1"/>
    <xf numFmtId="0" fontId="2" fillId="0" borderId="55" xfId="0" applyFont="1" applyFill="1" applyBorder="1"/>
    <xf numFmtId="0" fontId="2" fillId="0" borderId="56" xfId="0" applyFont="1" applyFill="1" applyBorder="1"/>
    <xf numFmtId="0" fontId="2" fillId="0" borderId="72" xfId="0" applyFont="1" applyFill="1" applyBorder="1"/>
    <xf numFmtId="0" fontId="2" fillId="0" borderId="68" xfId="0" applyFont="1" applyFill="1" applyBorder="1"/>
    <xf numFmtId="0" fontId="2" fillId="0" borderId="69" xfId="0" applyFont="1" applyFill="1" applyBorder="1"/>
    <xf numFmtId="0" fontId="2" fillId="0" borderId="73" xfId="0" applyFont="1" applyFill="1" applyBorder="1"/>
    <xf numFmtId="0" fontId="2" fillId="0" borderId="74" xfId="0" applyFont="1" applyFill="1" applyBorder="1"/>
    <xf numFmtId="164" fontId="2" fillId="0" borderId="75" xfId="0" applyNumberFormat="1" applyFont="1" applyBorder="1"/>
    <xf numFmtId="164" fontId="2" fillId="0" borderId="59" xfId="0" applyNumberFormat="1" applyFont="1" applyBorder="1"/>
    <xf numFmtId="0" fontId="1" fillId="0" borderId="62" xfId="0" applyFont="1" applyFill="1" applyBorder="1"/>
    <xf numFmtId="0" fontId="0" fillId="0" borderId="0" xfId="0" applyAlignment="1">
      <alignment horizontal="right"/>
    </xf>
    <xf numFmtId="0" fontId="0" fillId="0" borderId="76" xfId="0" applyBorder="1"/>
    <xf numFmtId="0" fontId="0" fillId="0" borderId="77" xfId="0" applyBorder="1"/>
    <xf numFmtId="0" fontId="0" fillId="0" borderId="78" xfId="0" applyBorder="1"/>
    <xf numFmtId="0" fontId="0" fillId="0" borderId="79" xfId="0" applyBorder="1"/>
    <xf numFmtId="0" fontId="0" fillId="0" borderId="80" xfId="0" applyBorder="1"/>
    <xf numFmtId="0" fontId="0" fillId="0" borderId="81" xfId="0" applyBorder="1"/>
    <xf numFmtId="0" fontId="0" fillId="3" borderId="82" xfId="0" applyFill="1" applyBorder="1"/>
    <xf numFmtId="0" fontId="0" fillId="0" borderId="0" xfId="0" applyFont="1"/>
    <xf numFmtId="0" fontId="4" fillId="0" borderId="4" xfId="0" applyNumberFormat="1" applyFont="1" applyBorder="1"/>
    <xf numFmtId="0" fontId="0" fillId="0" borderId="83" xfId="0" applyBorder="1"/>
    <xf numFmtId="0" fontId="0" fillId="0" borderId="84" xfId="0" applyBorder="1"/>
    <xf numFmtId="0" fontId="0" fillId="0" borderId="85" xfId="0" applyFill="1" applyBorder="1"/>
    <xf numFmtId="0" fontId="0" fillId="0" borderId="86" xfId="0" applyBorder="1"/>
    <xf numFmtId="0" fontId="4" fillId="0" borderId="87" xfId="0" applyFont="1" applyBorder="1" applyAlignment="1">
      <alignment horizontal="center"/>
    </xf>
    <xf numFmtId="0" fontId="4" fillId="0" borderId="88" xfId="0" applyFont="1" applyFill="1" applyBorder="1" applyAlignment="1">
      <alignment horizontal="center"/>
    </xf>
    <xf numFmtId="0" fontId="4" fillId="0" borderId="89" xfId="0" applyFont="1" applyFill="1" applyBorder="1" applyAlignment="1">
      <alignment horizontal="center"/>
    </xf>
    <xf numFmtId="0" fontId="4" fillId="0" borderId="90" xfId="0" applyFont="1" applyBorder="1"/>
    <xf numFmtId="0" fontId="0" fillId="0" borderId="91" xfId="0" applyBorder="1"/>
    <xf numFmtId="0" fontId="0" fillId="0" borderId="92" xfId="0" applyBorder="1"/>
    <xf numFmtId="0" fontId="4" fillId="0" borderId="93" xfId="0" applyFont="1" applyBorder="1"/>
    <xf numFmtId="0" fontId="12" fillId="0" borderId="0" xfId="0" applyFont="1"/>
    <xf numFmtId="0" fontId="12" fillId="0" borderId="0" xfId="0" applyFont="1" applyAlignment="1">
      <alignment horizontal="right"/>
    </xf>
    <xf numFmtId="0" fontId="13" fillId="0" borderId="0" xfId="0" applyFont="1"/>
    <xf numFmtId="0" fontId="0" fillId="0" borderId="0" xfId="0" applyAlignment="1">
      <alignment horizontal="center"/>
    </xf>
    <xf numFmtId="1" fontId="13" fillId="0" borderId="0" xfId="0" applyNumberFormat="1" applyFont="1" applyAlignment="1">
      <alignment horizontal="left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right"/>
    </xf>
    <xf numFmtId="0" fontId="1" fillId="0" borderId="1" xfId="0" applyFont="1" applyFill="1" applyBorder="1" applyAlignment="1">
      <alignment horizontal="right"/>
    </xf>
    <xf numFmtId="0" fontId="4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94" xfId="0" applyFont="1" applyBorder="1" applyAlignment="1">
      <alignment horizontal="center"/>
    </xf>
    <xf numFmtId="0" fontId="4" fillId="0" borderId="95" xfId="0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4" fillId="0" borderId="96" xfId="0" applyFont="1" applyBorder="1" applyAlignment="1">
      <alignment horizontal="center" vertical="center"/>
    </xf>
    <xf numFmtId="0" fontId="4" fillId="0" borderId="97" xfId="0" applyFont="1" applyBorder="1" applyAlignment="1">
      <alignment horizontal="center" vertical="center"/>
    </xf>
    <xf numFmtId="0" fontId="4" fillId="0" borderId="98" xfId="0" applyFont="1" applyBorder="1" applyAlignment="1">
      <alignment horizontal="center" vertical="center"/>
    </xf>
    <xf numFmtId="0" fontId="0" fillId="0" borderId="99" xfId="0" applyBorder="1" applyAlignment="1">
      <alignment horizontal="center" vertical="center"/>
    </xf>
    <xf numFmtId="0" fontId="0" fillId="0" borderId="100" xfId="0" applyBorder="1" applyAlignment="1">
      <alignment horizontal="center" vertical="center"/>
    </xf>
    <xf numFmtId="0" fontId="0" fillId="0" borderId="101" xfId="0" applyBorder="1" applyAlignment="1">
      <alignment horizontal="center" vertical="center"/>
    </xf>
    <xf numFmtId="0" fontId="5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1" fontId="0" fillId="0" borderId="0" xfId="0" applyNumberFormat="1" applyBorder="1" applyAlignment="1">
      <alignment horizontal="left"/>
    </xf>
    <xf numFmtId="0" fontId="0" fillId="0" borderId="17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BFBFB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9"/>
  <sheetViews>
    <sheetView workbookViewId="0">
      <selection activeCell="R1" sqref="R1:R1048576"/>
    </sheetView>
  </sheetViews>
  <sheetFormatPr baseColWidth="10" defaultColWidth="9.140625" defaultRowHeight="12.75" x14ac:dyDescent="0.2"/>
  <cols>
    <col min="1" max="1" width="19.5703125" customWidth="1"/>
    <col min="2" max="2" width="8.28515625" customWidth="1"/>
    <col min="3" max="3" width="11.42578125" customWidth="1"/>
    <col min="4" max="4" width="0" hidden="1" customWidth="1"/>
    <col min="5" max="5" width="11.42578125" customWidth="1"/>
    <col min="6" max="6" width="0" hidden="1" customWidth="1"/>
    <col min="7" max="7" width="11.42578125" customWidth="1"/>
    <col min="8" max="8" width="0" hidden="1" customWidth="1"/>
    <col min="9" max="9" width="11.42578125" customWidth="1"/>
    <col min="10" max="10" width="0" hidden="1" customWidth="1"/>
    <col min="11" max="11" width="11.42578125" customWidth="1"/>
    <col min="12" max="12" width="11.42578125" hidden="1" customWidth="1"/>
    <col min="13" max="13" width="11.42578125" customWidth="1"/>
    <col min="14" max="14" width="9.140625" hidden="1" customWidth="1"/>
    <col min="15" max="15" width="14.42578125" customWidth="1"/>
    <col min="16" max="16" width="11.42578125" hidden="1" customWidth="1"/>
    <col min="17" max="17" width="13.5703125" bestFit="1" customWidth="1"/>
    <col min="18" max="18" width="9.140625" hidden="1" customWidth="1"/>
    <col min="19" max="256" width="11.42578125" customWidth="1"/>
  </cols>
  <sheetData>
    <row r="1" spans="1:18" ht="13.5" thickBot="1" x14ac:dyDescent="0.25">
      <c r="A1" s="1" t="s">
        <v>0</v>
      </c>
      <c r="B1" s="1" t="s">
        <v>1</v>
      </c>
      <c r="C1" s="124" t="s">
        <v>2</v>
      </c>
      <c r="D1" s="2"/>
      <c r="E1" s="124" t="s">
        <v>3</v>
      </c>
      <c r="F1" s="2"/>
      <c r="G1" s="124" t="s">
        <v>4</v>
      </c>
      <c r="H1" s="2"/>
      <c r="I1" s="124" t="s">
        <v>5</v>
      </c>
      <c r="J1" s="3"/>
      <c r="K1" s="126" t="s">
        <v>6</v>
      </c>
      <c r="M1" s="4" t="s">
        <v>7</v>
      </c>
      <c r="O1" s="4" t="s">
        <v>8</v>
      </c>
      <c r="Q1" s="4" t="s">
        <v>9</v>
      </c>
    </row>
    <row r="2" spans="1:18" x14ac:dyDescent="0.2">
      <c r="A2" s="5" t="s">
        <v>10</v>
      </c>
      <c r="B2" s="186">
        <v>1.2</v>
      </c>
      <c r="C2" s="179">
        <v>920</v>
      </c>
      <c r="D2" s="175">
        <f>C2/C15</f>
        <v>0.45409674234945707</v>
      </c>
      <c r="E2" s="179"/>
      <c r="F2" s="175">
        <f>E2/E15</f>
        <v>0</v>
      </c>
      <c r="G2" s="179"/>
      <c r="H2" s="175">
        <f>G2/G15</f>
        <v>0</v>
      </c>
      <c r="I2" s="179">
        <v>150</v>
      </c>
      <c r="J2" s="175">
        <f>I2/I15</f>
        <v>5.6625141562853906E-2</v>
      </c>
      <c r="K2" s="179">
        <v>500</v>
      </c>
      <c r="L2" s="9">
        <f>K2/K15</f>
        <v>0.24582104228121926</v>
      </c>
      <c r="M2" s="172">
        <v>150</v>
      </c>
      <c r="N2" s="9">
        <f>M2/M$15</f>
        <v>6.5963060686015831E-2</v>
      </c>
      <c r="O2" s="163"/>
      <c r="P2" s="9">
        <f>O2/O$15</f>
        <v>0</v>
      </c>
      <c r="Q2" s="163">
        <v>800</v>
      </c>
      <c r="R2">
        <f>Q2/Q$15</f>
        <v>0.40567951318458417</v>
      </c>
    </row>
    <row r="3" spans="1:18" x14ac:dyDescent="0.2">
      <c r="A3" s="11" t="s">
        <v>11</v>
      </c>
      <c r="B3" s="187">
        <v>0.9</v>
      </c>
      <c r="C3" s="180"/>
      <c r="D3" s="175">
        <f>C3/C15</f>
        <v>0</v>
      </c>
      <c r="E3" s="180">
        <v>1000</v>
      </c>
      <c r="F3" s="175">
        <f>E3/E15</f>
        <v>0.47755491881566381</v>
      </c>
      <c r="G3" s="180"/>
      <c r="H3" s="175">
        <f>G3/G15</f>
        <v>0</v>
      </c>
      <c r="I3" s="180"/>
      <c r="J3" s="175">
        <f>I3/I15</f>
        <v>0</v>
      </c>
      <c r="K3" s="180"/>
      <c r="L3" s="9">
        <f>K3/K15</f>
        <v>0</v>
      </c>
      <c r="M3" s="173"/>
      <c r="N3" s="9">
        <f t="shared" ref="N3:N12" si="0">M3/M$15</f>
        <v>0</v>
      </c>
      <c r="O3" s="164"/>
      <c r="P3" s="9">
        <f t="shared" ref="P3:P12" si="1">O3/O$15</f>
        <v>0</v>
      </c>
      <c r="Q3" s="164"/>
      <c r="R3">
        <f t="shared" ref="R3:R14" si="2">Q3/Q$15</f>
        <v>0</v>
      </c>
    </row>
    <row r="4" spans="1:18" x14ac:dyDescent="0.2">
      <c r="A4" s="11" t="s">
        <v>12</v>
      </c>
      <c r="B4" s="187">
        <v>0.8</v>
      </c>
      <c r="C4" s="180"/>
      <c r="D4" s="175">
        <f>C4/C15</f>
        <v>0</v>
      </c>
      <c r="E4" s="180"/>
      <c r="F4" s="175">
        <f>E4/E15</f>
        <v>0</v>
      </c>
      <c r="G4" s="180"/>
      <c r="H4" s="175">
        <f>G4/G15</f>
        <v>0</v>
      </c>
      <c r="I4" s="180"/>
      <c r="J4" s="175">
        <f>I4/I15</f>
        <v>0</v>
      </c>
      <c r="K4" s="180"/>
      <c r="L4" s="9">
        <f>K4/K15</f>
        <v>0</v>
      </c>
      <c r="M4" s="173"/>
      <c r="N4" s="9">
        <f t="shared" si="0"/>
        <v>0</v>
      </c>
      <c r="O4" s="164"/>
      <c r="P4" s="9">
        <f t="shared" si="1"/>
        <v>0</v>
      </c>
      <c r="Q4" s="164"/>
      <c r="R4">
        <f t="shared" si="2"/>
        <v>0</v>
      </c>
    </row>
    <row r="5" spans="1:18" x14ac:dyDescent="0.2">
      <c r="A5" s="11" t="s">
        <v>6</v>
      </c>
      <c r="B5" s="187">
        <v>1.85</v>
      </c>
      <c r="C5" s="180"/>
      <c r="D5" s="175">
        <f>C5/C15</f>
        <v>0</v>
      </c>
      <c r="E5" s="180"/>
      <c r="F5" s="175">
        <f>E5/E15</f>
        <v>0</v>
      </c>
      <c r="G5" s="180"/>
      <c r="H5" s="175">
        <f>G5/G15</f>
        <v>0</v>
      </c>
      <c r="I5" s="180">
        <v>550</v>
      </c>
      <c r="J5" s="175">
        <f>I5/I15</f>
        <v>0.20762551906379767</v>
      </c>
      <c r="K5" s="180">
        <v>500</v>
      </c>
      <c r="L5" s="9">
        <f>K5/K15</f>
        <v>0.24582104228121926</v>
      </c>
      <c r="M5" s="173">
        <v>550</v>
      </c>
      <c r="N5" s="9">
        <f t="shared" si="0"/>
        <v>0.24186455584872471</v>
      </c>
      <c r="O5" s="164"/>
      <c r="P5" s="9">
        <f t="shared" si="1"/>
        <v>0</v>
      </c>
      <c r="Q5" s="164"/>
      <c r="R5">
        <f t="shared" si="2"/>
        <v>0</v>
      </c>
    </row>
    <row r="6" spans="1:18" x14ac:dyDescent="0.2">
      <c r="A6" s="11" t="s">
        <v>13</v>
      </c>
      <c r="B6" s="187">
        <v>0.9</v>
      </c>
      <c r="C6" s="180">
        <v>80</v>
      </c>
      <c r="D6" s="175">
        <f>C6/C15</f>
        <v>3.9486673247778874E-2</v>
      </c>
      <c r="E6" s="180"/>
      <c r="F6" s="175">
        <f>E6/E15</f>
        <v>0</v>
      </c>
      <c r="G6" s="180"/>
      <c r="H6" s="175">
        <f>G6/G15</f>
        <v>0</v>
      </c>
      <c r="I6" s="180"/>
      <c r="J6" s="175">
        <f>I6/I15</f>
        <v>0</v>
      </c>
      <c r="K6" s="180"/>
      <c r="L6" s="9">
        <f>K6/K15</f>
        <v>0</v>
      </c>
      <c r="M6" s="173"/>
      <c r="N6" s="9">
        <f t="shared" si="0"/>
        <v>0</v>
      </c>
      <c r="O6" s="164">
        <v>1000</v>
      </c>
      <c r="P6" s="9">
        <f t="shared" si="1"/>
        <v>0.31496062992125984</v>
      </c>
      <c r="Q6" s="164"/>
      <c r="R6">
        <f t="shared" si="2"/>
        <v>0</v>
      </c>
    </row>
    <row r="7" spans="1:18" x14ac:dyDescent="0.2">
      <c r="A7" s="11" t="s">
        <v>14</v>
      </c>
      <c r="B7" s="187">
        <v>1.1000000000000001</v>
      </c>
      <c r="C7" s="180"/>
      <c r="D7" s="175">
        <f>C7/C15</f>
        <v>0</v>
      </c>
      <c r="E7" s="180"/>
      <c r="F7" s="175">
        <f>E7/E15</f>
        <v>0</v>
      </c>
      <c r="G7" s="180">
        <v>1000</v>
      </c>
      <c r="H7" s="175">
        <f>G7/G15</f>
        <v>0.43956043956043955</v>
      </c>
      <c r="I7" s="180">
        <v>300</v>
      </c>
      <c r="J7" s="175">
        <f>I7/I15</f>
        <v>0.11325028312570781</v>
      </c>
      <c r="K7" s="180"/>
      <c r="L7" s="9">
        <f>K7/K15</f>
        <v>0</v>
      </c>
      <c r="M7" s="173">
        <v>300</v>
      </c>
      <c r="N7" s="9">
        <f t="shared" si="0"/>
        <v>0.13192612137203166</v>
      </c>
      <c r="O7" s="164"/>
      <c r="P7" s="9">
        <f t="shared" si="1"/>
        <v>0</v>
      </c>
      <c r="Q7" s="164"/>
      <c r="R7">
        <f t="shared" si="2"/>
        <v>0</v>
      </c>
    </row>
    <row r="8" spans="1:18" x14ac:dyDescent="0.2">
      <c r="A8" s="11" t="s">
        <v>15</v>
      </c>
      <c r="B8" s="187"/>
      <c r="C8" s="180">
        <v>652</v>
      </c>
      <c r="D8" s="175">
        <f>C8/C15</f>
        <v>0.32181638696939785</v>
      </c>
      <c r="E8" s="180">
        <v>690</v>
      </c>
      <c r="F8" s="175">
        <f>E8/E15</f>
        <v>0.32951289398280803</v>
      </c>
      <c r="G8" s="180">
        <v>750</v>
      </c>
      <c r="H8" s="175">
        <f>G8/G15</f>
        <v>0.32967032967032966</v>
      </c>
      <c r="I8" s="180">
        <v>600</v>
      </c>
      <c r="J8" s="175">
        <f>I8/I15</f>
        <v>0.22650056625141562</v>
      </c>
      <c r="K8" s="180">
        <v>660</v>
      </c>
      <c r="L8" s="9">
        <f>K8/K15</f>
        <v>0.32448377581120946</v>
      </c>
      <c r="M8" s="173">
        <v>600</v>
      </c>
      <c r="N8" s="9">
        <f t="shared" si="0"/>
        <v>0.26385224274406333</v>
      </c>
      <c r="O8" s="164">
        <v>1000</v>
      </c>
      <c r="P8" s="9">
        <f t="shared" si="1"/>
        <v>0.31496062992125984</v>
      </c>
      <c r="Q8" s="164">
        <v>200</v>
      </c>
      <c r="R8">
        <f t="shared" si="2"/>
        <v>0.10141987829614604</v>
      </c>
    </row>
    <row r="9" spans="1:18" x14ac:dyDescent="0.2">
      <c r="A9" s="11" t="s">
        <v>16</v>
      </c>
      <c r="B9" s="187"/>
      <c r="C9" s="180"/>
      <c r="D9" s="175">
        <f>C9/C15</f>
        <v>0</v>
      </c>
      <c r="E9" s="180"/>
      <c r="F9" s="175">
        <f>E9/E15</f>
        <v>0</v>
      </c>
      <c r="G9" s="180"/>
      <c r="H9" s="175">
        <f>G9/G15</f>
        <v>0</v>
      </c>
      <c r="I9" s="180">
        <v>300</v>
      </c>
      <c r="J9" s="175">
        <f>I9/I15</f>
        <v>0.11325028312570781</v>
      </c>
      <c r="K9" s="180"/>
      <c r="L9" s="9">
        <f>K9/K15</f>
        <v>0</v>
      </c>
      <c r="M9" s="173">
        <v>300</v>
      </c>
      <c r="N9" s="9">
        <f t="shared" si="0"/>
        <v>0.13192612137203166</v>
      </c>
      <c r="O9" s="164"/>
      <c r="P9" s="9">
        <f t="shared" si="1"/>
        <v>0</v>
      </c>
      <c r="Q9" s="164"/>
      <c r="R9">
        <f t="shared" si="2"/>
        <v>0</v>
      </c>
    </row>
    <row r="10" spans="1:18" x14ac:dyDescent="0.2">
      <c r="A10" s="11" t="s">
        <v>17</v>
      </c>
      <c r="B10" s="187">
        <v>0.6</v>
      </c>
      <c r="C10" s="180">
        <v>350</v>
      </c>
      <c r="D10" s="175">
        <f>C10/C15</f>
        <v>0.17275419545903259</v>
      </c>
      <c r="E10" s="180">
        <v>380</v>
      </c>
      <c r="F10" s="175">
        <f>E10/E15</f>
        <v>0.18147086914995225</v>
      </c>
      <c r="G10" s="180">
        <v>500</v>
      </c>
      <c r="H10" s="175">
        <f>G10/G15</f>
        <v>0.21978021978021978</v>
      </c>
      <c r="I10" s="180">
        <v>350</v>
      </c>
      <c r="J10" s="175">
        <f>I10/I15</f>
        <v>0.1321253303133258</v>
      </c>
      <c r="K10" s="180">
        <v>350</v>
      </c>
      <c r="L10" s="9">
        <f>K10/K15</f>
        <v>0.17207472959685349</v>
      </c>
      <c r="M10" s="173">
        <v>350</v>
      </c>
      <c r="N10" s="9">
        <f t="shared" si="0"/>
        <v>0.15391380826737028</v>
      </c>
      <c r="O10" s="164">
        <v>700</v>
      </c>
      <c r="P10" s="9">
        <f t="shared" si="1"/>
        <v>0.22047244094488189</v>
      </c>
      <c r="Q10" s="164">
        <v>260</v>
      </c>
      <c r="R10">
        <f t="shared" si="2"/>
        <v>0.13184584178498987</v>
      </c>
    </row>
    <row r="11" spans="1:18" x14ac:dyDescent="0.2">
      <c r="A11" s="11" t="s">
        <v>18</v>
      </c>
      <c r="B11" s="187">
        <v>1.25</v>
      </c>
      <c r="C11" s="181">
        <v>24</v>
      </c>
      <c r="D11" s="176">
        <f>C11/C15</f>
        <v>1.1846001974333662E-2</v>
      </c>
      <c r="E11" s="181">
        <v>24</v>
      </c>
      <c r="F11" s="176">
        <f>E11/E15</f>
        <v>1.1461318051575931E-2</v>
      </c>
      <c r="G11" s="181">
        <v>25</v>
      </c>
      <c r="H11" s="176">
        <f>G11/G15</f>
        <v>1.098901098901099E-2</v>
      </c>
      <c r="I11" s="181">
        <v>24</v>
      </c>
      <c r="J11" s="176">
        <f>I11/I15</f>
        <v>9.0600226500566258E-3</v>
      </c>
      <c r="K11" s="181">
        <v>24</v>
      </c>
      <c r="L11" s="9">
        <f>K11/K15</f>
        <v>1.1799410029498525E-2</v>
      </c>
      <c r="M11" s="174">
        <v>24</v>
      </c>
      <c r="N11" s="9">
        <f t="shared" si="0"/>
        <v>1.0554089709762533E-2</v>
      </c>
      <c r="O11" s="164">
        <v>25</v>
      </c>
      <c r="P11" s="9">
        <f t="shared" si="1"/>
        <v>7.874015748031496E-3</v>
      </c>
      <c r="Q11" s="164">
        <v>12</v>
      </c>
      <c r="R11">
        <f t="shared" si="2"/>
        <v>6.0851926977687626E-3</v>
      </c>
    </row>
    <row r="12" spans="1:18" x14ac:dyDescent="0.2">
      <c r="A12" s="16" t="s">
        <v>19</v>
      </c>
      <c r="B12" s="169">
        <v>2.5299999999999998</v>
      </c>
      <c r="C12" s="182"/>
      <c r="D12" s="184">
        <f>C12/C15</f>
        <v>0</v>
      </c>
      <c r="E12" s="182"/>
      <c r="F12" s="184">
        <f>E12/E15</f>
        <v>0</v>
      </c>
      <c r="G12" s="182"/>
      <c r="H12" s="184">
        <f>G12/G15</f>
        <v>0</v>
      </c>
      <c r="I12" s="182">
        <v>375</v>
      </c>
      <c r="J12" s="184">
        <f>I12/I15</f>
        <v>0.14156285390713477</v>
      </c>
      <c r="K12" s="182"/>
      <c r="L12" s="177">
        <f>K12/K15</f>
        <v>0</v>
      </c>
      <c r="M12" s="164"/>
      <c r="N12" s="9">
        <f t="shared" si="0"/>
        <v>0</v>
      </c>
      <c r="O12" s="164">
        <v>450</v>
      </c>
      <c r="P12" s="9">
        <f t="shared" si="1"/>
        <v>0.14173228346456693</v>
      </c>
      <c r="Q12" s="164"/>
      <c r="R12">
        <f t="shared" si="2"/>
        <v>0</v>
      </c>
    </row>
    <row r="13" spans="1:18" x14ac:dyDescent="0.2">
      <c r="A13" s="168" t="s">
        <v>9</v>
      </c>
      <c r="B13" s="170"/>
      <c r="C13" s="182"/>
      <c r="D13" s="184"/>
      <c r="E13" s="182"/>
      <c r="F13" s="184"/>
      <c r="G13" s="182"/>
      <c r="H13" s="184"/>
      <c r="I13" s="182"/>
      <c r="J13" s="184"/>
      <c r="K13" s="182"/>
      <c r="L13" s="177"/>
      <c r="M13" s="164"/>
      <c r="N13" s="9"/>
      <c r="O13" s="164"/>
      <c r="P13" s="9"/>
      <c r="Q13" s="164">
        <v>600</v>
      </c>
      <c r="R13">
        <f t="shared" si="2"/>
        <v>0.30425963488843816</v>
      </c>
    </row>
    <row r="14" spans="1:18" ht="13.5" thickBot="1" x14ac:dyDescent="0.25">
      <c r="A14" s="168" t="s">
        <v>20</v>
      </c>
      <c r="B14" s="170"/>
      <c r="C14" s="183"/>
      <c r="D14" s="185"/>
      <c r="E14" s="183"/>
      <c r="F14" s="185"/>
      <c r="G14" s="183"/>
      <c r="H14" s="185"/>
      <c r="I14" s="183"/>
      <c r="J14" s="185"/>
      <c r="K14" s="183"/>
      <c r="L14" s="178"/>
      <c r="M14" s="165"/>
      <c r="N14" s="9"/>
      <c r="O14" s="165"/>
      <c r="P14" s="9"/>
      <c r="Q14" s="165">
        <v>100</v>
      </c>
      <c r="R14">
        <f t="shared" si="2"/>
        <v>5.0709939148073022E-2</v>
      </c>
    </row>
    <row r="15" spans="1:18" ht="13.5" thickBot="1" x14ac:dyDescent="0.25">
      <c r="A15" s="217" t="s">
        <v>21</v>
      </c>
      <c r="B15" s="217"/>
      <c r="C15" s="171">
        <f>SUM(C2:C12)</f>
        <v>2026</v>
      </c>
      <c r="D15" s="171"/>
      <c r="E15" s="171">
        <f>SUM(E2:E12)</f>
        <v>2094</v>
      </c>
      <c r="F15" s="171"/>
      <c r="G15" s="171">
        <f>SUM(G2:G12)</f>
        <v>2275</v>
      </c>
      <c r="H15" s="171"/>
      <c r="I15" s="171">
        <f>SUM(I2:I12)</f>
        <v>2649</v>
      </c>
      <c r="J15" s="23"/>
      <c r="K15" s="23">
        <f>SUM(K2:K14)</f>
        <v>2034</v>
      </c>
      <c r="L15" s="23" t="e">
        <f>#N/A</f>
        <v>#N/A</v>
      </c>
      <c r="M15" s="23">
        <f t="shared" ref="M15:R15" si="3">SUM(M2:M14)</f>
        <v>2274</v>
      </c>
      <c r="N15" s="24">
        <f t="shared" si="3"/>
        <v>0.99999999999999989</v>
      </c>
      <c r="O15" s="23">
        <f t="shared" si="3"/>
        <v>3175</v>
      </c>
      <c r="P15" s="24">
        <f t="shared" si="3"/>
        <v>1</v>
      </c>
      <c r="Q15" s="188">
        <f t="shared" si="3"/>
        <v>1972</v>
      </c>
      <c r="R15" s="24">
        <f t="shared" si="3"/>
        <v>1</v>
      </c>
    </row>
    <row r="16" spans="1:18" ht="13.5" thickBot="1" x14ac:dyDescent="0.25">
      <c r="A16" s="218" t="s">
        <v>22</v>
      </c>
      <c r="B16" s="218"/>
      <c r="C16" s="26">
        <f>SUM((C2*B2/1000)+(C3*B3/1000)+(C4*B4/1000)+(C5*B5/1000)+(C6*B6/1000)+(C7*B7/1000)+(C8*B8/1000)+(C9*B9/1000)+(C10*B10/1000)+(C11*B11/1000)+(C12*B12/1000))</f>
        <v>1.4160000000000001</v>
      </c>
      <c r="D16" s="26"/>
      <c r="E16" s="26">
        <f>SUM((E2*B2/1000)+(E3*B3/1000)+(E4*B4/1000)+(E5*B5/1000)+(E6*B6/1000)+(E7*B7/1000)+(E8*B8/1000)+(E9*B9/1000)+(E10*B10/1000)+(E11*B11/1000)+(E12*B12/1000))</f>
        <v>1.1580000000000001</v>
      </c>
      <c r="F16" s="26"/>
      <c r="G16" s="26">
        <f>SUM((G2*B2/1000)+(G3*B3/1000)+(G4*B4/1000)+(G5*B5/1000)+(G6*B6/1000)+(G7*B7/1000)+(G8*B8/1000)+(G9*B9/1000)+(G10*B10/1000)+(G11*B11/1000)+(G12*B12/1000))</f>
        <v>1.4312500000000001</v>
      </c>
      <c r="H16" s="26"/>
      <c r="I16" s="26">
        <f>SUM((I2*B2/1000)+(I3*B3/1000)+(I4*B4/1000)+(I5*B5/1000)+(I6*B6/1000)+(I7*B7/1000)+(I8*B8/1000)+(I9*B9/1000)+(I10*B10/1000)+(I11*B11/1000)+(I12*B12/1000))</f>
        <v>2.7162500000000001</v>
      </c>
      <c r="J16" s="27"/>
      <c r="K16" s="27">
        <f>SUM((K2*B2/1000)+(K3*B3/1000)+(K4*B4/1000)+(K5*B5/1000)+(K6*B6/1000)+(K7*B7/1000)+(K8*B8/1000)+(K9*B9/1000)+(K10*B10/1000)+(K11*B11/1000)+(K12*B12/1000))</f>
        <v>1.7649999999999999</v>
      </c>
      <c r="L16" s="27">
        <f>SUM((L2*C2/1000)+(L3*C3/1000)+(L4*C4/1000)+(L5*C5/1000)+(L6*C6/1000)+(L7*C7/1000)+(L8*C8/1000)+(L9*C9/1000)+(L10*C10/1000)+(L11*C11/1000)+(L12*C12/1000))</f>
        <v>0.49822812192723698</v>
      </c>
      <c r="M16" s="27">
        <f>SUM((M2*B2/1000)+(M3*B3/1000)+(M4*B4/1000)+(M5*B5/1000)+(M6*B6/1000)+(M7*B7/1000)+(M8*B8/1000)+(M9*B9/1000)+(M10*B10/1000)+(M11*B11/1000)+(M12*B12/1000))</f>
        <v>1.7675000000000001</v>
      </c>
      <c r="O16" s="25"/>
      <c r="Q16" s="166"/>
    </row>
    <row r="17" spans="1:17" ht="13.5" thickBot="1" x14ac:dyDescent="0.25">
      <c r="A17" s="218" t="s">
        <v>23</v>
      </c>
      <c r="B17" s="218"/>
      <c r="C17" s="26">
        <f>C16/C15*1200</f>
        <v>0.83869693978282334</v>
      </c>
      <c r="D17" s="26"/>
      <c r="E17" s="26">
        <f>E16/E15*1200</f>
        <v>0.66361031518624647</v>
      </c>
      <c r="F17" s="26"/>
      <c r="G17" s="26">
        <f>G16/G15*1200</f>
        <v>0.75494505494505504</v>
      </c>
      <c r="H17" s="26"/>
      <c r="I17" s="26">
        <f>I16/I15*1200</f>
        <v>1.2304643261608155</v>
      </c>
      <c r="J17" s="27"/>
      <c r="K17" s="27">
        <f>K16/K15*1200</f>
        <v>1.0412979351032448</v>
      </c>
      <c r="L17" s="27" t="e">
        <f>L16/L15*1200</f>
        <v>#N/A</v>
      </c>
      <c r="M17" s="27">
        <f>M16/M15*1200</f>
        <v>0.93271767810026396</v>
      </c>
      <c r="O17" s="28"/>
      <c r="Q17" s="167"/>
    </row>
    <row r="22" spans="1:17" x14ac:dyDescent="0.2">
      <c r="B22" t="s">
        <v>3</v>
      </c>
      <c r="E22" t="s">
        <v>24</v>
      </c>
      <c r="K22" t="s">
        <v>25</v>
      </c>
    </row>
    <row r="24" spans="1:17" x14ac:dyDescent="0.2">
      <c r="B24" t="s">
        <v>2</v>
      </c>
      <c r="C24" t="s">
        <v>26</v>
      </c>
      <c r="K24" t="s">
        <v>27</v>
      </c>
    </row>
    <row r="26" spans="1:17" x14ac:dyDescent="0.2">
      <c r="I26" t="s">
        <v>28</v>
      </c>
    </row>
    <row r="27" spans="1:17" x14ac:dyDescent="0.2">
      <c r="I27" t="s">
        <v>29</v>
      </c>
    </row>
    <row r="28" spans="1:17" x14ac:dyDescent="0.2">
      <c r="I28" t="s">
        <v>30</v>
      </c>
    </row>
    <row r="31" spans="1:17" x14ac:dyDescent="0.2">
      <c r="C31" s="29">
        <v>43403</v>
      </c>
    </row>
    <row r="32" spans="1:17" x14ac:dyDescent="0.2">
      <c r="B32" s="30"/>
      <c r="C32" t="s">
        <v>31</v>
      </c>
    </row>
    <row r="33" spans="3:11" x14ac:dyDescent="0.2">
      <c r="C33" t="s">
        <v>32</v>
      </c>
    </row>
    <row r="35" spans="3:11" x14ac:dyDescent="0.2">
      <c r="C35" t="s">
        <v>33</v>
      </c>
    </row>
    <row r="36" spans="3:11" x14ac:dyDescent="0.2">
      <c r="C36" t="s">
        <v>34</v>
      </c>
    </row>
    <row r="38" spans="3:11" x14ac:dyDescent="0.2">
      <c r="C38" t="s">
        <v>35</v>
      </c>
      <c r="K38" t="s">
        <v>36</v>
      </c>
    </row>
    <row r="39" spans="3:11" x14ac:dyDescent="0.2">
      <c r="K39" t="s">
        <v>37</v>
      </c>
    </row>
  </sheetData>
  <sheetProtection selectLockedCells="1" selectUnlockedCells="1"/>
  <mergeCells count="3">
    <mergeCell ref="A15:B15"/>
    <mergeCell ref="A16:B16"/>
    <mergeCell ref="A17:B17"/>
  </mergeCells>
  <pageMargins left="0.78749999999999998" right="0.78749999999999998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45"/>
  <sheetViews>
    <sheetView tabSelected="1" workbookViewId="0">
      <selection activeCell="H9" sqref="H9:I12"/>
    </sheetView>
  </sheetViews>
  <sheetFormatPr baseColWidth="10" defaultColWidth="9.140625" defaultRowHeight="12.75" x14ac:dyDescent="0.2"/>
  <cols>
    <col min="1" max="1" width="20.140625" customWidth="1"/>
    <col min="2" max="2" width="15.140625" customWidth="1"/>
    <col min="3" max="6" width="15" customWidth="1"/>
    <col min="7" max="7" width="0" hidden="1" customWidth="1"/>
    <col min="8" max="10" width="15" customWidth="1"/>
    <col min="11" max="11" width="22" customWidth="1"/>
    <col min="12" max="12" width="7.85546875" customWidth="1"/>
    <col min="13" max="13" width="5" customWidth="1"/>
    <col min="14" max="14" width="12" customWidth="1"/>
    <col min="15" max="15" width="11.42578125" customWidth="1"/>
    <col min="16" max="16" width="2.140625" customWidth="1"/>
    <col min="17" max="17" width="11.42578125" customWidth="1"/>
    <col min="18" max="18" width="2.140625" customWidth="1"/>
    <col min="19" max="19" width="11.42578125" customWidth="1"/>
    <col min="20" max="20" width="2.140625" customWidth="1"/>
    <col min="21" max="256" width="11.42578125" customWidth="1"/>
  </cols>
  <sheetData>
    <row r="1" spans="1:14" ht="53.25" customHeight="1" thickBot="1" x14ac:dyDescent="0.25">
      <c r="A1" s="223" t="s">
        <v>132</v>
      </c>
      <c r="B1" s="223"/>
      <c r="C1" s="223"/>
      <c r="D1" s="223"/>
      <c r="E1" s="223"/>
      <c r="F1" s="223"/>
      <c r="G1" s="223"/>
      <c r="H1" s="223"/>
      <c r="I1" s="223"/>
      <c r="J1" s="223"/>
      <c r="K1" s="223"/>
      <c r="L1" s="223"/>
    </row>
    <row r="2" spans="1:14" ht="13.5" thickBot="1" x14ac:dyDescent="0.25">
      <c r="B2" s="31" t="s">
        <v>38</v>
      </c>
      <c r="C2" s="32" t="s">
        <v>39</v>
      </c>
      <c r="D2" s="203" t="s">
        <v>40</v>
      </c>
      <c r="E2" s="204" t="s">
        <v>41</v>
      </c>
      <c r="F2" s="205" t="s">
        <v>42</v>
      </c>
      <c r="G2" s="36"/>
    </row>
    <row r="3" spans="1:14" ht="13.5" thickBot="1" x14ac:dyDescent="0.25">
      <c r="A3" s="224" t="s">
        <v>2</v>
      </c>
      <c r="B3" s="199" t="s">
        <v>43</v>
      </c>
      <c r="C3" s="206"/>
      <c r="D3" s="207">
        <v>600</v>
      </c>
      <c r="E3" s="200">
        <f t="shared" ref="E3:E11" si="0">C3*D3</f>
        <v>0</v>
      </c>
      <c r="F3" s="227">
        <f>SUM(E3:E11)</f>
        <v>27470</v>
      </c>
      <c r="G3" s="40"/>
      <c r="I3" t="s">
        <v>44</v>
      </c>
      <c r="J3" t="s">
        <v>45</v>
      </c>
    </row>
    <row r="4" spans="1:14" ht="13.5" thickBot="1" x14ac:dyDescent="0.25">
      <c r="A4" s="225"/>
      <c r="B4" s="15" t="s">
        <v>46</v>
      </c>
      <c r="C4" s="45"/>
      <c r="D4" s="46">
        <v>1200</v>
      </c>
      <c r="E4" s="44">
        <f t="shared" si="0"/>
        <v>0</v>
      </c>
      <c r="F4" s="228"/>
      <c r="G4" s="40"/>
      <c r="J4" t="s">
        <v>47</v>
      </c>
    </row>
    <row r="5" spans="1:14" ht="13.5" thickBot="1" x14ac:dyDescent="0.25">
      <c r="A5" s="225"/>
      <c r="B5" s="15" t="s">
        <v>48</v>
      </c>
      <c r="C5" s="45">
        <v>18</v>
      </c>
      <c r="D5" s="46">
        <v>525</v>
      </c>
      <c r="E5" s="44">
        <f t="shared" si="0"/>
        <v>9450</v>
      </c>
      <c r="F5" s="228"/>
      <c r="G5" s="40"/>
    </row>
    <row r="6" spans="1:14" ht="13.5" thickBot="1" x14ac:dyDescent="0.25">
      <c r="A6" s="225"/>
      <c r="B6" s="15" t="s">
        <v>49</v>
      </c>
      <c r="C6" s="45">
        <v>10</v>
      </c>
      <c r="D6" s="47">
        <v>1050</v>
      </c>
      <c r="E6" s="44">
        <f t="shared" si="0"/>
        <v>10500</v>
      </c>
      <c r="F6" s="228"/>
      <c r="G6" s="40"/>
    </row>
    <row r="7" spans="1:14" ht="13.5" thickBot="1" x14ac:dyDescent="0.25">
      <c r="A7" s="225"/>
      <c r="B7" s="15" t="s">
        <v>50</v>
      </c>
      <c r="C7" s="45"/>
      <c r="D7" s="47">
        <v>550</v>
      </c>
      <c r="E7" s="44">
        <f t="shared" si="0"/>
        <v>0</v>
      </c>
      <c r="F7" s="228"/>
      <c r="G7" s="40"/>
      <c r="I7" t="s">
        <v>51</v>
      </c>
      <c r="L7" s="212">
        <v>200</v>
      </c>
    </row>
    <row r="8" spans="1:14" ht="13.5" thickBot="1" x14ac:dyDescent="0.25">
      <c r="A8" s="225"/>
      <c r="B8" s="41" t="s">
        <v>52</v>
      </c>
      <c r="C8" s="42">
        <v>5</v>
      </c>
      <c r="D8" s="43">
        <v>262</v>
      </c>
      <c r="E8" s="44">
        <f t="shared" si="0"/>
        <v>1310</v>
      </c>
      <c r="F8" s="228"/>
      <c r="G8" s="40"/>
      <c r="I8" t="s">
        <v>53</v>
      </c>
      <c r="L8" s="212"/>
    </row>
    <row r="9" spans="1:14" ht="13.5" thickBot="1" x14ac:dyDescent="0.25">
      <c r="A9" s="225"/>
      <c r="B9" s="15" t="s">
        <v>54</v>
      </c>
      <c r="C9" s="45"/>
      <c r="D9" s="46">
        <v>550</v>
      </c>
      <c r="E9" s="44">
        <f t="shared" si="0"/>
        <v>0</v>
      </c>
      <c r="F9" s="228"/>
      <c r="G9" s="40"/>
      <c r="H9" s="230"/>
      <c r="I9" s="230"/>
      <c r="J9" s="231">
        <f>SUM(C3:C19)</f>
        <v>92</v>
      </c>
      <c r="K9" s="48" t="s">
        <v>17</v>
      </c>
      <c r="L9" s="49">
        <f>SUM(C31:I31)+L30</f>
        <v>7854.6455016230702</v>
      </c>
      <c r="M9" s="214"/>
    </row>
    <row r="10" spans="1:14" ht="13.5" thickBot="1" x14ac:dyDescent="0.25">
      <c r="A10" s="225"/>
      <c r="B10" s="50" t="s">
        <v>55</v>
      </c>
      <c r="C10" s="51">
        <v>2</v>
      </c>
      <c r="D10" s="52">
        <v>0</v>
      </c>
      <c r="E10" s="44">
        <f t="shared" si="0"/>
        <v>0</v>
      </c>
      <c r="F10" s="228"/>
      <c r="G10" s="40"/>
      <c r="H10" s="230"/>
      <c r="I10" s="230"/>
      <c r="J10" s="231"/>
      <c r="K10" s="53" t="s">
        <v>56</v>
      </c>
      <c r="L10" s="49">
        <f>SUM(H34/1.5,C38/1.5)</f>
        <v>2749.3771234428086</v>
      </c>
      <c r="M10" s="49">
        <f>(L10/2)</f>
        <v>1374.6885617214043</v>
      </c>
      <c r="N10" s="54"/>
    </row>
    <row r="11" spans="1:14" ht="13.5" thickBot="1" x14ac:dyDescent="0.25">
      <c r="A11" s="226"/>
      <c r="B11" s="208" t="s">
        <v>57</v>
      </c>
      <c r="C11" s="209">
        <v>23</v>
      </c>
      <c r="D11" s="201">
        <v>270</v>
      </c>
      <c r="E11" s="202">
        <f t="shared" si="0"/>
        <v>6210</v>
      </c>
      <c r="F11" s="229"/>
      <c r="G11" s="40"/>
      <c r="H11" s="230"/>
      <c r="I11" s="230"/>
      <c r="J11" s="231"/>
      <c r="K11" s="48" t="s">
        <v>58</v>
      </c>
      <c r="L11" s="49">
        <f>+D38</f>
        <v>0</v>
      </c>
      <c r="M11" s="49"/>
    </row>
    <row r="12" spans="1:14" ht="13.5" thickBot="1" x14ac:dyDescent="0.25">
      <c r="C12" s="48"/>
      <c r="H12" s="230"/>
      <c r="I12" s="230"/>
      <c r="J12" s="231"/>
      <c r="K12" s="48" t="s">
        <v>59</v>
      </c>
      <c r="L12" s="49">
        <f>F33</f>
        <v>0</v>
      </c>
      <c r="M12" s="49"/>
    </row>
    <row r="13" spans="1:14" ht="13.5" thickBot="1" x14ac:dyDescent="0.25">
      <c r="A13" s="232" t="s">
        <v>60</v>
      </c>
      <c r="B13" s="10" t="s">
        <v>61</v>
      </c>
      <c r="C13" s="58">
        <v>10</v>
      </c>
      <c r="D13" s="59">
        <v>600</v>
      </c>
      <c r="E13" s="39">
        <f>C13*D13</f>
        <v>6000</v>
      </c>
      <c r="F13" s="60"/>
      <c r="G13" s="61"/>
      <c r="H13" s="211" t="s">
        <v>62</v>
      </c>
      <c r="I13" s="210" t="s">
        <v>126</v>
      </c>
      <c r="K13" s="48" t="s">
        <v>63</v>
      </c>
      <c r="L13" s="66">
        <f>L41</f>
        <v>0</v>
      </c>
    </row>
    <row r="14" spans="1:14" ht="13.5" thickBot="1" x14ac:dyDescent="0.25">
      <c r="A14" s="232"/>
      <c r="B14" s="41" t="s">
        <v>64</v>
      </c>
      <c r="C14" s="198"/>
      <c r="D14" s="62">
        <v>300</v>
      </c>
      <c r="E14" s="44">
        <f>SUM(L29:L34)</f>
        <v>0</v>
      </c>
      <c r="F14" s="63"/>
      <c r="G14" s="61"/>
      <c r="H14">
        <v>700</v>
      </c>
      <c r="I14" t="s">
        <v>127</v>
      </c>
    </row>
    <row r="15" spans="1:14" ht="13.5" thickBot="1" x14ac:dyDescent="0.25">
      <c r="A15" s="232"/>
      <c r="B15" s="15" t="s">
        <v>65</v>
      </c>
      <c r="C15" s="64"/>
      <c r="D15" s="47">
        <v>600</v>
      </c>
      <c r="E15" s="44">
        <f>C15*D15</f>
        <v>0</v>
      </c>
      <c r="F15" s="65"/>
      <c r="G15" s="61"/>
      <c r="H15">
        <v>300</v>
      </c>
      <c r="I15" t="s">
        <v>128</v>
      </c>
      <c r="J15" s="189" t="s">
        <v>66</v>
      </c>
      <c r="K15" s="66" t="s">
        <v>67</v>
      </c>
    </row>
    <row r="16" spans="1:14" ht="13.5" thickBot="1" x14ac:dyDescent="0.25">
      <c r="A16" s="232"/>
      <c r="B16" s="15" t="s">
        <v>68</v>
      </c>
      <c r="C16" s="64">
        <v>15</v>
      </c>
      <c r="D16" s="47">
        <v>600</v>
      </c>
      <c r="E16" s="44">
        <f>C16*D16</f>
        <v>9000</v>
      </c>
      <c r="F16" s="65"/>
      <c r="G16" s="61"/>
      <c r="H16">
        <v>1000</v>
      </c>
      <c r="I16" t="s">
        <v>129</v>
      </c>
      <c r="J16" s="189" t="s">
        <v>69</v>
      </c>
      <c r="K16" s="197" t="s">
        <v>70</v>
      </c>
    </row>
    <row r="17" spans="1:14" ht="13.5" thickBot="1" x14ac:dyDescent="0.25">
      <c r="A17" s="232"/>
      <c r="B17" s="50" t="s">
        <v>71</v>
      </c>
      <c r="C17" s="67"/>
      <c r="D17" s="52">
        <v>600</v>
      </c>
      <c r="E17" s="44">
        <f>C17*D17</f>
        <v>0</v>
      </c>
      <c r="F17" s="68"/>
      <c r="G17" s="61"/>
      <c r="H17">
        <v>400</v>
      </c>
      <c r="I17" t="s">
        <v>130</v>
      </c>
      <c r="J17" s="189" t="s">
        <v>72</v>
      </c>
      <c r="K17" t="s">
        <v>73</v>
      </c>
    </row>
    <row r="18" spans="1:14" ht="13.5" hidden="1" thickBot="1" x14ac:dyDescent="0.25">
      <c r="A18" s="232"/>
      <c r="B18" s="50" t="s">
        <v>74</v>
      </c>
      <c r="C18" s="67"/>
      <c r="D18" s="52">
        <v>600</v>
      </c>
      <c r="E18" s="69">
        <f>C18*D18</f>
        <v>0</v>
      </c>
      <c r="F18" s="68"/>
      <c r="G18" s="61"/>
      <c r="K18" t="s">
        <v>67</v>
      </c>
    </row>
    <row r="19" spans="1:14" ht="13.5" thickBot="1" x14ac:dyDescent="0.25">
      <c r="A19" s="232"/>
      <c r="B19" s="70" t="s">
        <v>75</v>
      </c>
      <c r="C19" s="71">
        <v>9</v>
      </c>
      <c r="D19" s="56">
        <v>600</v>
      </c>
      <c r="E19" s="57">
        <f>C19*D19</f>
        <v>5400</v>
      </c>
      <c r="F19" s="72"/>
      <c r="G19" s="61"/>
      <c r="H19">
        <v>18</v>
      </c>
      <c r="I19" t="s">
        <v>131</v>
      </c>
      <c r="J19" s="189" t="s">
        <v>76</v>
      </c>
      <c r="K19" t="s">
        <v>77</v>
      </c>
    </row>
    <row r="20" spans="1:14" ht="13.5" thickBot="1" x14ac:dyDescent="0.25">
      <c r="A20" s="216" t="s">
        <v>78</v>
      </c>
      <c r="B20" s="73"/>
      <c r="C20" s="74"/>
      <c r="D20" s="75">
        <v>520</v>
      </c>
      <c r="E20" s="76">
        <f>D20*C20</f>
        <v>0</v>
      </c>
      <c r="F20" s="77"/>
      <c r="G20" s="61"/>
      <c r="H20" s="213" t="s">
        <v>79</v>
      </c>
      <c r="I20">
        <v>1200</v>
      </c>
      <c r="J20" s="189"/>
      <c r="K20" t="s">
        <v>80</v>
      </c>
    </row>
    <row r="21" spans="1:14" ht="45.75" customHeight="1" thickBot="1" x14ac:dyDescent="0.25">
      <c r="B21" s="78"/>
      <c r="C21" s="79"/>
      <c r="D21" s="130"/>
      <c r="H21" t="s">
        <v>81</v>
      </c>
      <c r="J21" s="189" t="s">
        <v>82</v>
      </c>
      <c r="K21" t="s">
        <v>83</v>
      </c>
      <c r="N21" t="s">
        <v>84</v>
      </c>
    </row>
    <row r="22" spans="1:14" ht="16.5" thickBot="1" x14ac:dyDescent="0.3">
      <c r="A22" s="149" t="s">
        <v>0</v>
      </c>
      <c r="B22" s="150"/>
      <c r="C22" s="80" t="s">
        <v>2</v>
      </c>
      <c r="D22" s="80" t="s">
        <v>3</v>
      </c>
      <c r="E22" s="81" t="s">
        <v>4</v>
      </c>
      <c r="F22" s="82" t="s">
        <v>8</v>
      </c>
      <c r="G22" s="83" t="s">
        <v>6</v>
      </c>
      <c r="H22" s="80" t="s">
        <v>5</v>
      </c>
      <c r="I22" s="83" t="s">
        <v>7</v>
      </c>
      <c r="J22" s="189"/>
      <c r="K22" t="s">
        <v>85</v>
      </c>
      <c r="N22" t="s">
        <v>86</v>
      </c>
    </row>
    <row r="23" spans="1:14" ht="15.75" x14ac:dyDescent="0.25">
      <c r="A23" s="151" t="s">
        <v>10</v>
      </c>
      <c r="B23" s="152"/>
      <c r="C23" s="84">
        <f>F3*'Recettes direct'!D2</f>
        <v>12474.037512339586</v>
      </c>
      <c r="D23" s="85">
        <f>($E$13)*'Recettes direct'!F2</f>
        <v>0</v>
      </c>
      <c r="E23" s="84">
        <f>E15*'Recettes direct'!H2</f>
        <v>0</v>
      </c>
      <c r="F23" s="86">
        <f>$E$17*'Recettes direct'!P2</f>
        <v>0</v>
      </c>
      <c r="G23" s="87">
        <f>E18*'Recettes direct'!L2</f>
        <v>0</v>
      </c>
      <c r="H23" s="86">
        <f>E16*'Recettes direct'!J2</f>
        <v>509.62627406568515</v>
      </c>
      <c r="I23" s="86">
        <f>E$19*'Recettes direct'!N2</f>
        <v>356.20052770448547</v>
      </c>
      <c r="J23" s="189"/>
      <c r="N23" t="s">
        <v>87</v>
      </c>
    </row>
    <row r="24" spans="1:14" ht="15.75" x14ac:dyDescent="0.25">
      <c r="A24" s="153" t="s">
        <v>11</v>
      </c>
      <c r="B24" s="154"/>
      <c r="C24" s="88">
        <f>F3*'Recettes direct'!D3</f>
        <v>0</v>
      </c>
      <c r="D24" s="89">
        <f>($E$13)*'Recettes direct'!F3</f>
        <v>2865.3295128939831</v>
      </c>
      <c r="E24" s="88">
        <f>E15*'Recettes direct'!H3</f>
        <v>0</v>
      </c>
      <c r="F24" s="90">
        <f>$E$17*'Recettes direct'!P3</f>
        <v>0</v>
      </c>
      <c r="G24" s="91">
        <f>E18*'Recettes direct'!L3</f>
        <v>0</v>
      </c>
      <c r="H24" s="89">
        <f>E16*'Recettes direct'!J3</f>
        <v>0</v>
      </c>
      <c r="I24" s="89">
        <f>E$19*'Recettes direct'!N3</f>
        <v>0</v>
      </c>
      <c r="J24" s="189" t="s">
        <v>88</v>
      </c>
      <c r="K24" t="s">
        <v>89</v>
      </c>
    </row>
    <row r="25" spans="1:14" ht="15.75" x14ac:dyDescent="0.25">
      <c r="A25" s="153" t="s">
        <v>12</v>
      </c>
      <c r="B25" s="154"/>
      <c r="C25" s="88">
        <f>F3*'Recettes direct'!D4</f>
        <v>0</v>
      </c>
      <c r="D25" s="89">
        <f>($E$13)*'Recettes direct'!F4</f>
        <v>0</v>
      </c>
      <c r="E25" s="88">
        <f>E15*'Recettes direct'!H4</f>
        <v>0</v>
      </c>
      <c r="F25" s="90">
        <f>$E$17*'Recettes direct'!P4</f>
        <v>0</v>
      </c>
      <c r="G25" s="91">
        <f>E18*'Recettes direct'!L4</f>
        <v>0</v>
      </c>
      <c r="H25" s="89">
        <f>E16*'Recettes direct'!J4</f>
        <v>0</v>
      </c>
      <c r="I25" s="89">
        <f>E$19*'Recettes direct'!N4</f>
        <v>0</v>
      </c>
      <c r="J25" s="189"/>
    </row>
    <row r="26" spans="1:14" ht="15.75" x14ac:dyDescent="0.25">
      <c r="A26" s="153" t="s">
        <v>6</v>
      </c>
      <c r="B26" s="154"/>
      <c r="C26" s="88">
        <f>F3*'Recettes direct'!D5</f>
        <v>0</v>
      </c>
      <c r="D26" s="89">
        <f>($E$13)*'Recettes direct'!F5</f>
        <v>0</v>
      </c>
      <c r="E26" s="88">
        <f>E15*'Recettes direct'!H5</f>
        <v>0</v>
      </c>
      <c r="F26" s="90">
        <f>$E$17*'Recettes direct'!P5</f>
        <v>0</v>
      </c>
      <c r="G26" s="91">
        <f>E18*'Recettes direct'!L5</f>
        <v>0</v>
      </c>
      <c r="H26" s="89">
        <f>E16*'Recettes direct'!J5</f>
        <v>1868.6296715741789</v>
      </c>
      <c r="I26" s="89">
        <f>E$19*'Recettes direct'!N5</f>
        <v>1306.0686015831134</v>
      </c>
      <c r="J26" s="189"/>
    </row>
    <row r="27" spans="1:14" ht="16.5" thickBot="1" x14ac:dyDescent="0.3">
      <c r="A27" s="153" t="s">
        <v>13</v>
      </c>
      <c r="B27" s="154"/>
      <c r="C27" s="88">
        <f>F3*'Recettes direct'!D6</f>
        <v>1084.6989141164856</v>
      </c>
      <c r="D27" s="89">
        <f>($E$13)*'Recettes direct'!F6</f>
        <v>0</v>
      </c>
      <c r="E27" s="88">
        <f>E15*'Recettes direct'!H6</f>
        <v>0</v>
      </c>
      <c r="F27" s="90">
        <f>$E$17*'Recettes direct'!P6</f>
        <v>0</v>
      </c>
      <c r="G27" s="91">
        <f>E18*'Recettes direct'!L6</f>
        <v>0</v>
      </c>
      <c r="H27" s="89">
        <f>E16*'Recettes direct'!J6</f>
        <v>0</v>
      </c>
      <c r="I27" s="89">
        <f>E$19*'Recettes direct'!N6</f>
        <v>0</v>
      </c>
      <c r="J27" s="189"/>
    </row>
    <row r="28" spans="1:14" ht="16.5" thickBot="1" x14ac:dyDescent="0.3">
      <c r="A28" s="153" t="s">
        <v>14</v>
      </c>
      <c r="B28" s="154"/>
      <c r="C28" s="88">
        <f>F3*'Recettes direct'!D7</f>
        <v>0</v>
      </c>
      <c r="D28" s="89">
        <f>($E$13)*'Recettes direct'!F7</f>
        <v>0</v>
      </c>
      <c r="E28" s="88">
        <f>E15*'Recettes direct'!H7</f>
        <v>0</v>
      </c>
      <c r="F28" s="90">
        <f>$E$17*'Recettes direct'!P7</f>
        <v>0</v>
      </c>
      <c r="G28" s="91">
        <f>E18*'Recettes direct'!L7</f>
        <v>0</v>
      </c>
      <c r="H28" s="89">
        <f>E16*'Recettes direct'!J7</f>
        <v>1019.2525481313703</v>
      </c>
      <c r="I28" s="89">
        <f>E$19*'Recettes direct'!N7</f>
        <v>712.40105540897093</v>
      </c>
      <c r="K28" s="221" t="s">
        <v>64</v>
      </c>
      <c r="L28" s="222"/>
    </row>
    <row r="29" spans="1:14" ht="15.75" x14ac:dyDescent="0.25">
      <c r="A29" s="153" t="s">
        <v>15</v>
      </c>
      <c r="B29" s="154"/>
      <c r="C29" s="88">
        <f>F3*'Recettes direct'!D8</f>
        <v>8840.2961500493584</v>
      </c>
      <c r="D29" s="89">
        <f>($E$13)*'Recettes direct'!F8</f>
        <v>1977.0773638968483</v>
      </c>
      <c r="E29" s="88">
        <f>E15*'Recettes direct'!H8</f>
        <v>0</v>
      </c>
      <c r="F29" s="90">
        <f>$E$17*'Recettes direct'!P8</f>
        <v>0</v>
      </c>
      <c r="G29" s="91">
        <f>E18*'Recettes direct'!L8</f>
        <v>0</v>
      </c>
      <c r="H29" s="89">
        <f>E16*'Recettes direct'!J8</f>
        <v>2038.5050962627406</v>
      </c>
      <c r="I29" s="89">
        <f>E$19*'Recettes direct'!N8</f>
        <v>1424.8021108179419</v>
      </c>
      <c r="K29" s="190" t="s">
        <v>2</v>
      </c>
      <c r="L29" s="191">
        <f>L34*'Recettes direct'!R2</f>
        <v>0</v>
      </c>
    </row>
    <row r="30" spans="1:14" ht="15.75" x14ac:dyDescent="0.25">
      <c r="A30" s="153" t="s">
        <v>16</v>
      </c>
      <c r="B30" s="154"/>
      <c r="C30" s="88">
        <f>F3*'Recettes direct'!D9</f>
        <v>0</v>
      </c>
      <c r="D30" s="89">
        <f>($E$13)*'Recettes direct'!F9</f>
        <v>0</v>
      </c>
      <c r="E30" s="88">
        <f>E15*'Recettes direct'!H9</f>
        <v>0</v>
      </c>
      <c r="F30" s="90">
        <f>$E$17*'Recettes direct'!P9</f>
        <v>0</v>
      </c>
      <c r="G30" s="91">
        <f>E18*'Recettes direct'!L9</f>
        <v>0</v>
      </c>
      <c r="H30" s="89">
        <f>E16*'Recettes direct'!J9</f>
        <v>1019.2525481313703</v>
      </c>
      <c r="I30" s="89">
        <f>E$19*'Recettes direct'!N9</f>
        <v>712.40105540897093</v>
      </c>
      <c r="K30" s="192" t="s">
        <v>90</v>
      </c>
      <c r="L30" s="193">
        <f>L34*'Recettes direct'!R10</f>
        <v>0</v>
      </c>
    </row>
    <row r="31" spans="1:14" ht="15.75" x14ac:dyDescent="0.25">
      <c r="A31" s="153" t="s">
        <v>17</v>
      </c>
      <c r="B31" s="154"/>
      <c r="C31" s="88">
        <f>F3*'Recettes direct'!D10</f>
        <v>4745.5577492596249</v>
      </c>
      <c r="D31" s="89">
        <f>($E$13)*'Recettes direct'!F10</f>
        <v>1088.8252148997135</v>
      </c>
      <c r="E31" s="88">
        <f>E15*'Recettes direct'!H10</f>
        <v>0</v>
      </c>
      <c r="F31" s="90">
        <f>$E$17*'Recettes direct'!P10</f>
        <v>0</v>
      </c>
      <c r="G31" s="91">
        <f>E18*'Recettes direct'!L10</f>
        <v>0</v>
      </c>
      <c r="H31" s="89">
        <f>E16*'Recettes direct'!J10</f>
        <v>1189.1279728199322</v>
      </c>
      <c r="I31" s="89">
        <f>E$19*'Recettes direct'!N10</f>
        <v>831.13456464379954</v>
      </c>
      <c r="K31" s="192" t="s">
        <v>91</v>
      </c>
      <c r="L31" s="193">
        <f>L34*'Recettes direct'!R8</f>
        <v>0</v>
      </c>
    </row>
    <row r="32" spans="1:14" ht="15.75" x14ac:dyDescent="0.25">
      <c r="A32" s="153" t="s">
        <v>18</v>
      </c>
      <c r="B32" s="154"/>
      <c r="C32" s="88">
        <f>F3*'Recettes direct'!D11</f>
        <v>325.40967423494573</v>
      </c>
      <c r="D32" s="89">
        <f>($E$13)*'Recettes direct'!F11</f>
        <v>68.767908309455592</v>
      </c>
      <c r="E32" s="88">
        <f>E15*'Recettes direct'!H11</f>
        <v>0</v>
      </c>
      <c r="F32" s="90">
        <f>$E$17*'Recettes direct'!P11</f>
        <v>0</v>
      </c>
      <c r="G32" s="91">
        <f>E18*'Recettes direct'!L11</f>
        <v>0</v>
      </c>
      <c r="H32" s="89">
        <f>E16*'Recettes direct'!J11</f>
        <v>81.540203850509627</v>
      </c>
      <c r="I32" s="89">
        <f>E$19*'Recettes direct'!N11</f>
        <v>56.992084432717675</v>
      </c>
      <c r="K32" s="192" t="s">
        <v>92</v>
      </c>
      <c r="L32" s="193">
        <f>L34*'Recettes direct'!R11</f>
        <v>0</v>
      </c>
    </row>
    <row r="33" spans="1:12" ht="15.75" x14ac:dyDescent="0.25">
      <c r="A33" s="153" t="s">
        <v>59</v>
      </c>
      <c r="B33" s="154"/>
      <c r="C33" s="92">
        <v>0</v>
      </c>
      <c r="D33" s="93">
        <f>($E$13)*'Recettes direct'!F12</f>
        <v>0</v>
      </c>
      <c r="E33" s="92">
        <v>0</v>
      </c>
      <c r="F33" s="89">
        <f>$E$17*'Recettes direct'!P12</f>
        <v>0</v>
      </c>
      <c r="G33" s="94"/>
      <c r="H33" s="93">
        <v>0</v>
      </c>
      <c r="I33" s="93">
        <v>0</v>
      </c>
      <c r="K33" s="192" t="s">
        <v>93</v>
      </c>
      <c r="L33" s="195">
        <f>L34*'Recettes direct'!R14</f>
        <v>0</v>
      </c>
    </row>
    <row r="34" spans="1:12" ht="16.5" thickBot="1" x14ac:dyDescent="0.3">
      <c r="A34" s="155" t="s">
        <v>19</v>
      </c>
      <c r="B34" s="156"/>
      <c r="C34" s="95">
        <f>F3*'Recettes direct'!D12</f>
        <v>0</v>
      </c>
      <c r="D34" s="96">
        <f>($E$13)*'Recettes direct'!F15</f>
        <v>0</v>
      </c>
      <c r="E34" s="95">
        <f>E15*'Recettes direct'!H12</f>
        <v>0</v>
      </c>
      <c r="F34" s="97">
        <v>0</v>
      </c>
      <c r="G34" s="98">
        <f>E18*'Recettes direct'!L12</f>
        <v>0</v>
      </c>
      <c r="H34" s="96">
        <f>E16*'Recettes direct'!J12</f>
        <v>1274.0656851642129</v>
      </c>
      <c r="I34" s="96">
        <f>E$19*'Recettes direct'!N12</f>
        <v>0</v>
      </c>
      <c r="K34" s="194" t="s">
        <v>64</v>
      </c>
      <c r="L34" s="196"/>
    </row>
    <row r="35" spans="1:12" ht="45.75" customHeight="1" thickBot="1" x14ac:dyDescent="0.25">
      <c r="F35" s="54"/>
      <c r="H35" s="99">
        <f>(H34/1.5)</f>
        <v>849.37712344280862</v>
      </c>
    </row>
    <row r="36" spans="1:12" ht="13.5" thickBot="1" x14ac:dyDescent="0.25">
      <c r="B36" s="215" t="s">
        <v>94</v>
      </c>
      <c r="C36" s="215" t="s">
        <v>95</v>
      </c>
      <c r="D36" s="215" t="s">
        <v>50</v>
      </c>
      <c r="E36" s="215" t="s">
        <v>57</v>
      </c>
      <c r="H36" s="219" t="s">
        <v>96</v>
      </c>
      <c r="I36" s="219"/>
      <c r="K36" s="220" t="s">
        <v>78</v>
      </c>
      <c r="L36" s="220"/>
    </row>
    <row r="37" spans="1:12" x14ac:dyDescent="0.2">
      <c r="A37" s="100" t="s">
        <v>97</v>
      </c>
      <c r="B37" s="101">
        <f>E3+E4</f>
        <v>0</v>
      </c>
      <c r="C37" s="10">
        <f>E5+E6</f>
        <v>19950</v>
      </c>
      <c r="D37" s="10">
        <f>E7</f>
        <v>0</v>
      </c>
      <c r="E37" s="10">
        <f>E11</f>
        <v>6210</v>
      </c>
      <c r="H37" s="102" t="s">
        <v>10</v>
      </c>
      <c r="I37" s="103">
        <f>H23+I23</f>
        <v>865.82680177017062</v>
      </c>
      <c r="K37" s="38" t="s">
        <v>98</v>
      </c>
      <c r="L37" s="104">
        <f>$C$20*'Recettes pointage long'!Q2/5</f>
        <v>0</v>
      </c>
    </row>
    <row r="38" spans="1:12" ht="13.5" customHeight="1" thickBot="1" x14ac:dyDescent="0.25">
      <c r="A38" s="105" t="s">
        <v>99</v>
      </c>
      <c r="B38" s="106">
        <v>0</v>
      </c>
      <c r="C38" s="106">
        <f>(75*C5)+(150*C6)</f>
        <v>2850</v>
      </c>
      <c r="D38" s="106">
        <f>50*C7</f>
        <v>0</v>
      </c>
      <c r="E38" s="106">
        <f>30*C11</f>
        <v>690</v>
      </c>
      <c r="H38" s="107" t="s">
        <v>11</v>
      </c>
      <c r="I38" s="108">
        <f>H24+I24</f>
        <v>0</v>
      </c>
      <c r="K38" s="46" t="s">
        <v>100</v>
      </c>
      <c r="L38" s="109">
        <f>$C$20*'Recettes pointage long'!Q3/5</f>
        <v>0</v>
      </c>
    </row>
    <row r="39" spans="1:12" ht="13.5" thickBot="1" x14ac:dyDescent="0.25">
      <c r="A39" t="s">
        <v>101</v>
      </c>
      <c r="C39" s="110">
        <f>(C38/1.5)</f>
        <v>1900</v>
      </c>
      <c r="H39" s="107" t="s">
        <v>6</v>
      </c>
      <c r="I39" s="108">
        <f>H26+I26</f>
        <v>3174.6982731572925</v>
      </c>
      <c r="K39" s="46" t="s">
        <v>102</v>
      </c>
      <c r="L39" s="109">
        <f>$C$20*'Recettes pointage long'!Q4/5</f>
        <v>0</v>
      </c>
    </row>
    <row r="40" spans="1:12" ht="13.5" thickBot="1" x14ac:dyDescent="0.25">
      <c r="A40" s="141"/>
      <c r="B40" s="157" t="s">
        <v>52</v>
      </c>
      <c r="C40" s="142"/>
      <c r="D40" s="142"/>
      <c r="E40" s="158" t="s">
        <v>54</v>
      </c>
      <c r="F40" s="111"/>
      <c r="G40" s="111"/>
      <c r="H40" s="107" t="s">
        <v>14</v>
      </c>
      <c r="I40" s="108">
        <f>H28+I28</f>
        <v>1731.6536035403412</v>
      </c>
      <c r="K40" s="46" t="s">
        <v>103</v>
      </c>
      <c r="L40" s="109">
        <f>$C$20*'Recettes pointage long'!Q5/5</f>
        <v>0</v>
      </c>
    </row>
    <row r="41" spans="1:12" x14ac:dyDescent="0.2">
      <c r="A41" s="100" t="s">
        <v>97</v>
      </c>
      <c r="B41" s="146">
        <f>E8</f>
        <v>1310</v>
      </c>
      <c r="C41" s="142"/>
      <c r="D41" s="100" t="s">
        <v>97</v>
      </c>
      <c r="E41" s="143">
        <f>E9</f>
        <v>0</v>
      </c>
      <c r="F41" s="111"/>
      <c r="G41" s="111"/>
      <c r="H41" s="107" t="s">
        <v>15</v>
      </c>
      <c r="I41" s="108">
        <f>H29+I29</f>
        <v>3463.3072070806825</v>
      </c>
      <c r="K41" s="46" t="s">
        <v>104</v>
      </c>
      <c r="L41" s="109">
        <f>$C$20*'Recettes pointage long'!Q6/5</f>
        <v>0</v>
      </c>
    </row>
    <row r="42" spans="1:12" x14ac:dyDescent="0.2">
      <c r="A42" s="159" t="s">
        <v>105</v>
      </c>
      <c r="B42" s="147">
        <f>16*C8</f>
        <v>80</v>
      </c>
      <c r="C42" s="142"/>
      <c r="D42" s="161" t="s">
        <v>106</v>
      </c>
      <c r="E42" s="145">
        <f>25*C9</f>
        <v>0</v>
      </c>
      <c r="F42" s="111"/>
      <c r="G42" s="111"/>
      <c r="H42" s="107" t="s">
        <v>107</v>
      </c>
      <c r="I42" s="108">
        <f>H30+I30</f>
        <v>1731.6536035403412</v>
      </c>
      <c r="K42" s="46" t="s">
        <v>108</v>
      </c>
      <c r="L42" s="109">
        <f>$C$20*'Recettes pointage long'!Q7/5</f>
        <v>0</v>
      </c>
    </row>
    <row r="43" spans="1:12" ht="13.5" thickBot="1" x14ac:dyDescent="0.25">
      <c r="A43" s="160" t="s">
        <v>109</v>
      </c>
      <c r="B43" s="148">
        <f>49*C8</f>
        <v>245</v>
      </c>
      <c r="C43" s="142"/>
      <c r="D43" s="162" t="s">
        <v>93</v>
      </c>
      <c r="E43" s="144">
        <f>25*C9</f>
        <v>0</v>
      </c>
      <c r="F43" s="111"/>
      <c r="G43" s="111"/>
      <c r="H43" s="107" t="s">
        <v>17</v>
      </c>
      <c r="I43" s="108">
        <f>H31+I31</f>
        <v>2020.2625374637319</v>
      </c>
      <c r="K43" s="112" t="s">
        <v>110</v>
      </c>
      <c r="L43" s="113">
        <f>C20</f>
        <v>0</v>
      </c>
    </row>
    <row r="44" spans="1:12" ht="13.5" thickBot="1" x14ac:dyDescent="0.25">
      <c r="A44" s="141"/>
      <c r="B44" s="142"/>
      <c r="C44" s="142"/>
      <c r="D44" s="142"/>
      <c r="E44" s="142"/>
      <c r="F44" s="111"/>
      <c r="G44" s="111"/>
      <c r="H44" s="114" t="s">
        <v>18</v>
      </c>
      <c r="I44" s="115">
        <f>H32+I32</f>
        <v>138.5322882832273</v>
      </c>
    </row>
    <row r="45" spans="1:12" x14ac:dyDescent="0.2">
      <c r="F45" s="66"/>
      <c r="G45" s="66"/>
    </row>
  </sheetData>
  <sheetProtection selectLockedCells="1" selectUnlockedCells="1"/>
  <mergeCells count="9">
    <mergeCell ref="H36:I36"/>
    <mergeCell ref="K36:L36"/>
    <mergeCell ref="K28:L28"/>
    <mergeCell ref="A1:L1"/>
    <mergeCell ref="A3:A11"/>
    <mergeCell ref="F3:F11"/>
    <mergeCell ref="H9:I12"/>
    <mergeCell ref="J9:J12"/>
    <mergeCell ref="A13:A19"/>
  </mergeCells>
  <printOptions horizontalCentered="1" verticalCentered="1"/>
  <pageMargins left="0.55138888888888893" right="0.55138888888888893" top="0.27569444444444446" bottom="0.47222222222222221" header="0.51180555555555551" footer="0.51180555555555551"/>
  <pageSetup paperSize="9" scale="78" firstPageNumber="0" orientation="landscape" horizontalDpi="4294967293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26"/>
  <sheetViews>
    <sheetView workbookViewId="0">
      <selection activeCell="N1" sqref="N1:N1048576"/>
    </sheetView>
  </sheetViews>
  <sheetFormatPr baseColWidth="10" defaultColWidth="9.140625" defaultRowHeight="12.75" x14ac:dyDescent="0.2"/>
  <cols>
    <col min="1" max="1" width="19.5703125" customWidth="1"/>
    <col min="2" max="2" width="8.28515625" customWidth="1"/>
    <col min="3" max="3" width="11.42578125" customWidth="1"/>
    <col min="4" max="4" width="0" hidden="1" customWidth="1"/>
    <col min="5" max="5" width="11.42578125" customWidth="1"/>
    <col min="6" max="6" width="0" hidden="1" customWidth="1"/>
    <col min="7" max="7" width="11.42578125" customWidth="1"/>
    <col min="8" max="8" width="0" hidden="1" customWidth="1"/>
    <col min="9" max="9" width="11.42578125" customWidth="1"/>
    <col min="10" max="10" width="0" hidden="1" customWidth="1"/>
    <col min="11" max="11" width="11.42578125" customWidth="1"/>
    <col min="12" max="12" width="9.140625" hidden="1" customWidth="1"/>
    <col min="13" max="13" width="11.42578125" customWidth="1"/>
    <col min="14" max="14" width="9.140625" hidden="1" customWidth="1"/>
    <col min="15" max="256" width="11.42578125" customWidth="1"/>
  </cols>
  <sheetData>
    <row r="1" spans="1:21" x14ac:dyDescent="0.2">
      <c r="A1" s="1" t="s">
        <v>0</v>
      </c>
      <c r="B1" s="1" t="s">
        <v>1</v>
      </c>
      <c r="C1" s="2" t="s">
        <v>2</v>
      </c>
      <c r="D1" s="2"/>
      <c r="E1" s="2" t="s">
        <v>3</v>
      </c>
      <c r="F1" s="2"/>
      <c r="G1" s="2" t="s">
        <v>4</v>
      </c>
      <c r="H1" s="2"/>
      <c r="I1" s="2" t="s">
        <v>5</v>
      </c>
      <c r="J1" s="3"/>
      <c r="K1" s="3" t="s">
        <v>6</v>
      </c>
      <c r="M1" s="4" t="s">
        <v>7</v>
      </c>
      <c r="P1" s="116"/>
      <c r="Q1" s="117" t="s">
        <v>111</v>
      </c>
    </row>
    <row r="2" spans="1:21" x14ac:dyDescent="0.2">
      <c r="A2" s="5" t="s">
        <v>10</v>
      </c>
      <c r="B2" s="6">
        <v>1.2</v>
      </c>
      <c r="C2" s="7">
        <v>930</v>
      </c>
      <c r="D2" s="7">
        <f>C2/C13</f>
        <v>0.53664166185804962</v>
      </c>
      <c r="E2" s="7"/>
      <c r="F2" s="7">
        <f>E2/E13</f>
        <v>0</v>
      </c>
      <c r="G2" s="7"/>
      <c r="H2" s="7">
        <f>G2/G13</f>
        <v>0</v>
      </c>
      <c r="I2" s="7">
        <v>216</v>
      </c>
      <c r="J2" s="8">
        <f>I2/I13</f>
        <v>9.4945054945054952E-2</v>
      </c>
      <c r="K2" s="8">
        <v>500</v>
      </c>
      <c r="L2" s="9">
        <f>K2/K13</f>
        <v>0.24582104228121926</v>
      </c>
      <c r="M2" s="10">
        <v>216</v>
      </c>
      <c r="N2" s="9">
        <f>M2/M$13</f>
        <v>0.11048593350383631</v>
      </c>
      <c r="P2" s="118" t="s">
        <v>98</v>
      </c>
      <c r="Q2" s="119">
        <v>1000</v>
      </c>
    </row>
    <row r="3" spans="1:21" x14ac:dyDescent="0.2">
      <c r="A3" s="11" t="s">
        <v>11</v>
      </c>
      <c r="B3" s="12">
        <v>0.9</v>
      </c>
      <c r="C3" s="13"/>
      <c r="D3" s="7">
        <f>C3/C13</f>
        <v>0</v>
      </c>
      <c r="E3" s="13">
        <v>1000</v>
      </c>
      <c r="F3" s="7">
        <f>E3/E13</f>
        <v>0.57208237986270027</v>
      </c>
      <c r="G3" s="13"/>
      <c r="H3" s="7">
        <f>G3/G13</f>
        <v>0</v>
      </c>
      <c r="I3" s="13"/>
      <c r="J3" s="8">
        <f>I3/I13</f>
        <v>0</v>
      </c>
      <c r="K3" s="14"/>
      <c r="L3" s="9">
        <f>K3/K13</f>
        <v>0</v>
      </c>
      <c r="M3" s="15"/>
      <c r="N3" s="9">
        <f t="shared" ref="N3:N12" si="0">M3/M$13</f>
        <v>0</v>
      </c>
      <c r="P3" s="118" t="s">
        <v>100</v>
      </c>
      <c r="Q3" s="119">
        <v>300</v>
      </c>
    </row>
    <row r="4" spans="1:21" x14ac:dyDescent="0.2">
      <c r="A4" s="11" t="s">
        <v>12</v>
      </c>
      <c r="B4" s="12">
        <v>0.8</v>
      </c>
      <c r="C4" s="13"/>
      <c r="D4" s="7">
        <f>C4/C13</f>
        <v>0</v>
      </c>
      <c r="E4" s="13"/>
      <c r="F4" s="7">
        <f>E4/E13</f>
        <v>0</v>
      </c>
      <c r="G4" s="13"/>
      <c r="H4" s="7">
        <f>G4/G13</f>
        <v>0</v>
      </c>
      <c r="I4" s="13"/>
      <c r="J4" s="8">
        <f>I4/I13</f>
        <v>0</v>
      </c>
      <c r="K4" s="14"/>
      <c r="L4" s="9">
        <f>K4/K13</f>
        <v>0</v>
      </c>
      <c r="M4" s="15"/>
      <c r="N4" s="9">
        <f t="shared" si="0"/>
        <v>0</v>
      </c>
      <c r="P4" s="118" t="s">
        <v>102</v>
      </c>
      <c r="Q4" s="119">
        <v>400</v>
      </c>
    </row>
    <row r="5" spans="1:21" x14ac:dyDescent="0.2">
      <c r="A5" s="11" t="s">
        <v>6</v>
      </c>
      <c r="B5" s="12">
        <v>1.85</v>
      </c>
      <c r="C5" s="13"/>
      <c r="D5" s="7">
        <f>C5/C13</f>
        <v>0</v>
      </c>
      <c r="E5" s="13"/>
      <c r="F5" s="7">
        <f>E5/E13</f>
        <v>0</v>
      </c>
      <c r="G5" s="13"/>
      <c r="H5" s="7">
        <f>G5/G13</f>
        <v>0</v>
      </c>
      <c r="I5" s="13">
        <v>510</v>
      </c>
      <c r="J5" s="8">
        <f>I5/I13</f>
        <v>0.22417582417582418</v>
      </c>
      <c r="K5" s="14">
        <v>500</v>
      </c>
      <c r="L5" s="9">
        <f>K5/K13</f>
        <v>0.24582104228121926</v>
      </c>
      <c r="M5" s="15">
        <v>510</v>
      </c>
      <c r="N5" s="9">
        <f t="shared" si="0"/>
        <v>0.2608695652173913</v>
      </c>
      <c r="P5" s="118" t="s">
        <v>103</v>
      </c>
      <c r="Q5" s="119">
        <v>250</v>
      </c>
    </row>
    <row r="6" spans="1:21" x14ac:dyDescent="0.2">
      <c r="A6" s="11" t="s">
        <v>13</v>
      </c>
      <c r="B6" s="12">
        <v>0.9</v>
      </c>
      <c r="C6" s="13">
        <v>70</v>
      </c>
      <c r="D6" s="7">
        <f>C6/C13</f>
        <v>4.0392383150605886E-2</v>
      </c>
      <c r="E6" s="13"/>
      <c r="F6" s="7">
        <f>E6/E13</f>
        <v>0</v>
      </c>
      <c r="G6" s="13"/>
      <c r="H6" s="7">
        <f>G6/G13</f>
        <v>0</v>
      </c>
      <c r="I6" s="13"/>
      <c r="J6" s="8">
        <f>I6/I13</f>
        <v>0</v>
      </c>
      <c r="K6" s="14"/>
      <c r="L6" s="9">
        <f>K6/K13</f>
        <v>0</v>
      </c>
      <c r="M6" s="15"/>
      <c r="N6" s="9">
        <f t="shared" si="0"/>
        <v>0</v>
      </c>
      <c r="P6" s="118" t="s">
        <v>104</v>
      </c>
      <c r="Q6" s="119">
        <v>400</v>
      </c>
    </row>
    <row r="7" spans="1:21" x14ac:dyDescent="0.2">
      <c r="A7" s="11" t="s">
        <v>14</v>
      </c>
      <c r="B7" s="12">
        <v>1.1000000000000001</v>
      </c>
      <c r="C7" s="13"/>
      <c r="D7" s="7">
        <f>C7/C13</f>
        <v>0</v>
      </c>
      <c r="E7" s="13"/>
      <c r="F7" s="7">
        <f>E7/E13</f>
        <v>0</v>
      </c>
      <c r="G7" s="13">
        <v>1000</v>
      </c>
      <c r="H7" s="7">
        <f>G7/G13</f>
        <v>0.43956043956043955</v>
      </c>
      <c r="I7" s="13">
        <v>275</v>
      </c>
      <c r="J7" s="8">
        <f>I7/I13</f>
        <v>0.12087912087912088</v>
      </c>
      <c r="K7" s="14"/>
      <c r="L7" s="9">
        <f>K7/K13</f>
        <v>0</v>
      </c>
      <c r="M7" s="15">
        <v>275</v>
      </c>
      <c r="N7" s="9">
        <f t="shared" si="0"/>
        <v>0.14066496163682865</v>
      </c>
      <c r="P7" s="118" t="s">
        <v>108</v>
      </c>
      <c r="Q7" s="119">
        <v>250</v>
      </c>
    </row>
    <row r="8" spans="1:21" x14ac:dyDescent="0.2">
      <c r="A8" s="11" t="s">
        <v>15</v>
      </c>
      <c r="B8" s="12"/>
      <c r="C8" s="13">
        <v>705</v>
      </c>
      <c r="D8" s="7">
        <f>C8/C13</f>
        <v>0.40680900173110213</v>
      </c>
      <c r="E8" s="13">
        <v>720</v>
      </c>
      <c r="F8" s="7">
        <f>E8/E13</f>
        <v>0.41189931350114417</v>
      </c>
      <c r="G8" s="13">
        <v>750</v>
      </c>
      <c r="H8" s="7">
        <f>G8/G13</f>
        <v>0.32967032967032966</v>
      </c>
      <c r="I8" s="13">
        <v>667</v>
      </c>
      <c r="J8" s="8">
        <f>I8/I13</f>
        <v>0.29318681318681317</v>
      </c>
      <c r="K8" s="14">
        <v>660</v>
      </c>
      <c r="L8" s="9">
        <f>K8/K13</f>
        <v>0.32448377581120946</v>
      </c>
      <c r="M8" s="15">
        <v>667</v>
      </c>
      <c r="N8" s="9">
        <f t="shared" si="0"/>
        <v>0.3411764705882353</v>
      </c>
      <c r="P8" s="118" t="s">
        <v>110</v>
      </c>
      <c r="Q8" s="119"/>
    </row>
    <row r="9" spans="1:21" x14ac:dyDescent="0.2">
      <c r="A9" s="11" t="s">
        <v>16</v>
      </c>
      <c r="B9" s="12"/>
      <c r="C9" s="13"/>
      <c r="D9" s="7">
        <f>C9/C13</f>
        <v>0</v>
      </c>
      <c r="E9" s="13"/>
      <c r="F9" s="7">
        <f>E9/E13</f>
        <v>0</v>
      </c>
      <c r="G9" s="13"/>
      <c r="H9" s="7">
        <f>G9/G13</f>
        <v>0</v>
      </c>
      <c r="I9" s="13">
        <v>259</v>
      </c>
      <c r="J9" s="8">
        <f>I9/I13</f>
        <v>0.11384615384615385</v>
      </c>
      <c r="K9" s="14"/>
      <c r="L9" s="9">
        <f>K9/K13</f>
        <v>0</v>
      </c>
      <c r="M9" s="15">
        <v>259</v>
      </c>
      <c r="N9" s="9">
        <f t="shared" si="0"/>
        <v>0.13248081841432224</v>
      </c>
      <c r="P9" s="120" t="s">
        <v>112</v>
      </c>
      <c r="Q9" s="121" t="s">
        <v>113</v>
      </c>
    </row>
    <row r="10" spans="1:21" x14ac:dyDescent="0.2">
      <c r="A10" s="11" t="s">
        <v>17</v>
      </c>
      <c r="B10" s="12">
        <v>0.6</v>
      </c>
      <c r="C10" s="13">
        <v>10</v>
      </c>
      <c r="D10" s="7">
        <f>C10/C13</f>
        <v>5.7703404500865554E-3</v>
      </c>
      <c r="E10" s="13">
        <v>10</v>
      </c>
      <c r="F10" s="7">
        <f>E10/E13</f>
        <v>5.7208237986270021E-3</v>
      </c>
      <c r="G10" s="13">
        <v>500</v>
      </c>
      <c r="H10" s="7">
        <f>G10/G13</f>
        <v>0.21978021978021978</v>
      </c>
      <c r="I10" s="13">
        <v>10</v>
      </c>
      <c r="J10" s="8">
        <f>I10/I13</f>
        <v>4.3956043956043956E-3</v>
      </c>
      <c r="K10" s="14">
        <v>350</v>
      </c>
      <c r="L10" s="9">
        <f>K10/K13</f>
        <v>0.17207472959685349</v>
      </c>
      <c r="M10" s="15">
        <v>10</v>
      </c>
      <c r="N10" s="9">
        <f t="shared" si="0"/>
        <v>5.1150895140664966E-3</v>
      </c>
      <c r="Q10" t="s">
        <v>114</v>
      </c>
      <c r="U10" s="44"/>
    </row>
    <row r="11" spans="1:21" x14ac:dyDescent="0.2">
      <c r="A11" s="11" t="s">
        <v>18</v>
      </c>
      <c r="B11" s="12">
        <v>1.25</v>
      </c>
      <c r="C11" s="13">
        <v>18</v>
      </c>
      <c r="D11" s="7">
        <f>C11/C13</f>
        <v>1.03866128101558E-2</v>
      </c>
      <c r="E11" s="13">
        <v>18</v>
      </c>
      <c r="F11" s="7">
        <f>E11/E13</f>
        <v>1.0297482837528604E-2</v>
      </c>
      <c r="G11" s="13">
        <v>25</v>
      </c>
      <c r="H11" s="7">
        <f>G11/G13</f>
        <v>1.098901098901099E-2</v>
      </c>
      <c r="I11" s="13">
        <v>18</v>
      </c>
      <c r="J11" s="8">
        <f>I11/I13</f>
        <v>7.9120879120879121E-3</v>
      </c>
      <c r="K11" s="14">
        <v>24</v>
      </c>
      <c r="L11" s="9">
        <f>K11/K13</f>
        <v>1.1799410029498525E-2</v>
      </c>
      <c r="M11" s="15">
        <v>18</v>
      </c>
      <c r="N11" s="9">
        <f t="shared" si="0"/>
        <v>9.2071611253196923E-3</v>
      </c>
      <c r="Q11" t="s">
        <v>115</v>
      </c>
    </row>
    <row r="12" spans="1:21" x14ac:dyDescent="0.2">
      <c r="A12" s="16" t="s">
        <v>19</v>
      </c>
      <c r="B12" s="17">
        <v>2.5299999999999998</v>
      </c>
      <c r="C12" s="18"/>
      <c r="D12" s="7">
        <f>C12/C13</f>
        <v>0</v>
      </c>
      <c r="E12" s="18"/>
      <c r="F12" s="7">
        <f>E12/E13</f>
        <v>0</v>
      </c>
      <c r="G12" s="18"/>
      <c r="H12" s="7">
        <f>G12/G13</f>
        <v>0</v>
      </c>
      <c r="I12" s="18">
        <v>320</v>
      </c>
      <c r="J12" s="8">
        <f>I12/I13</f>
        <v>0.14065934065934066</v>
      </c>
      <c r="K12" s="19"/>
      <c r="L12" s="9">
        <f>K12/K13</f>
        <v>0</v>
      </c>
      <c r="M12" s="20"/>
      <c r="N12" s="9">
        <f t="shared" si="0"/>
        <v>0</v>
      </c>
    </row>
    <row r="13" spans="1:21" x14ac:dyDescent="0.2">
      <c r="A13" s="217" t="s">
        <v>21</v>
      </c>
      <c r="B13" s="217"/>
      <c r="C13" s="21">
        <f>SUM(C2:C12)</f>
        <v>1733</v>
      </c>
      <c r="D13" s="21"/>
      <c r="E13" s="21">
        <f>SUM(E2:E12)</f>
        <v>1748</v>
      </c>
      <c r="F13" s="21"/>
      <c r="G13" s="21">
        <f>SUM(G2:G12)</f>
        <v>2275</v>
      </c>
      <c r="H13" s="21"/>
      <c r="I13" s="21">
        <f>SUM(I2:I12)</f>
        <v>2275</v>
      </c>
      <c r="J13" s="22"/>
      <c r="K13" s="22">
        <f>SUM(K2:K12)</f>
        <v>2034</v>
      </c>
      <c r="L13" s="22">
        <f>SUM(L2:L12)</f>
        <v>1</v>
      </c>
      <c r="M13" s="23">
        <f>SUM(M2:M12)</f>
        <v>1955</v>
      </c>
      <c r="N13" s="122">
        <f>SUM(N2:N12)</f>
        <v>1</v>
      </c>
      <c r="P13" t="s">
        <v>116</v>
      </c>
    </row>
    <row r="14" spans="1:21" x14ac:dyDescent="0.2">
      <c r="A14" s="218" t="s">
        <v>22</v>
      </c>
      <c r="B14" s="218"/>
      <c r="C14" s="26">
        <f>SUM((C2*B2/1000)+(C3*B3/1000)+(C4*B4/1000)+(C5*B5/1000)+(C6*B6/1000)+(C7*B7/1000)+(C8*B8/1000)+(C9*B9/1000)+(C10*B10/1000)+(C11*B11/1000)+(C12*B12/1000))</f>
        <v>1.2075</v>
      </c>
      <c r="D14" s="26"/>
      <c r="E14" s="26">
        <f>SUM((E2*B2/1000)+(E3*B3/1000)+(E4*B4/1000)+(E5*B5/1000)+(E6*B6/1000)+(E7*B7/1000)+(E8*B8/1000)+(E9*B9/1000)+(E10*B10/1000)+(E11*B11/1000)+(E12*B12/1000))</f>
        <v>0.92849999999999999</v>
      </c>
      <c r="F14" s="26"/>
      <c r="G14" s="26">
        <f>SUM((G2*B2/1000)+(G3*B3/1000)+(G4*B4/1000)+(G5*B5/1000)+(G6*B6/1000)+(G7*B7/1000)+(G8*B8/1000)+(G9*B9/1000)+(G10*B10/1000)+(G11*B11/1000)+(G12*B12/1000))</f>
        <v>1.4312500000000001</v>
      </c>
      <c r="H14" s="26"/>
      <c r="I14" s="26">
        <f>SUM((I2*B2/1000)+(I3*B3/1000)+(I4*B4/1000)+(I5*B5/1000)+(I6*B6/1000)+(I7*B7/1000)+(I8*B8/1000)+(I9*B9/1000)+(I10*B10/1000)+(I11*B11/1000)+(I12*B12/1000))</f>
        <v>2.3433000000000002</v>
      </c>
      <c r="J14" s="27"/>
      <c r="K14" s="27">
        <f>SUM((K2*B2/1000)+(K3*B3/1000)+(K4*B4/1000)+(K5*B5/1000)+(K6*B6/1000)+(K7*B7/1000)+(K8*B8/1000)+(K9*B9/1000)+(K10*B10/1000)+(K11*B11/1000)+(K12*B12/1000))</f>
        <v>1.7649999999999999</v>
      </c>
      <c r="L14" s="27">
        <f>SUM((L2*C2/1000)+(L3*C3/1000)+(L4*C4/1000)+(L5*C5/1000)+(L6*C6/1000)+(L7*C7/1000)+(L8*C8/1000)+(L9*C9/1000)+(L10*C10/1000)+(L11*C11/1000)+(L12*C12/1000))</f>
        <v>0.45930776794493611</v>
      </c>
      <c r="M14" s="27">
        <f>SUM((M2*B2/1000)+(M3*B3/1000)+(M4*B4/1000)+(M5*B5/1000)+(M6*B6/1000)+(M7*B7/1000)+(M8*B8/1000)+(M9*B9/1000)+(M10*B10/1000)+(M11*B11/1000)+(M12*B12/1000))</f>
        <v>1.5337000000000001</v>
      </c>
      <c r="P14" t="s">
        <v>117</v>
      </c>
    </row>
    <row r="15" spans="1:21" x14ac:dyDescent="0.2">
      <c r="A15" s="218" t="s">
        <v>23</v>
      </c>
      <c r="B15" s="218"/>
      <c r="C15" s="26">
        <f>C14/C13*1200</f>
        <v>0.83612233121754176</v>
      </c>
      <c r="D15" s="26"/>
      <c r="E15" s="26">
        <f>E14/E13*1200</f>
        <v>0.6374141876430206</v>
      </c>
      <c r="F15" s="26"/>
      <c r="G15" s="26">
        <f>G14/G13*1200</f>
        <v>0.75494505494505504</v>
      </c>
      <c r="H15" s="26"/>
      <c r="I15" s="26">
        <f>I14/I13*1200</f>
        <v>1.2360263736263739</v>
      </c>
      <c r="J15" s="27"/>
      <c r="K15" s="27">
        <f>K14/K13*1200</f>
        <v>1.0412979351032448</v>
      </c>
      <c r="L15" s="27">
        <f>L14/L13*1200</f>
        <v>551.16932153392338</v>
      </c>
      <c r="M15" s="27">
        <f>M14/M13*1200</f>
        <v>0.94140153452685416</v>
      </c>
    </row>
    <row r="17" spans="3:9" x14ac:dyDescent="0.2">
      <c r="C17" t="s">
        <v>118</v>
      </c>
    </row>
    <row r="19" spans="3:9" x14ac:dyDescent="0.2">
      <c r="C19" t="s">
        <v>119</v>
      </c>
    </row>
    <row r="20" spans="3:9" x14ac:dyDescent="0.2">
      <c r="E20" t="s">
        <v>120</v>
      </c>
    </row>
    <row r="24" spans="3:9" x14ac:dyDescent="0.2">
      <c r="I24" t="s">
        <v>28</v>
      </c>
    </row>
    <row r="25" spans="3:9" x14ac:dyDescent="0.2">
      <c r="I25" t="s">
        <v>29</v>
      </c>
    </row>
    <row r="26" spans="3:9" x14ac:dyDescent="0.2">
      <c r="I26" t="s">
        <v>30</v>
      </c>
    </row>
  </sheetData>
  <sheetProtection selectLockedCells="1" selectUnlockedCells="1"/>
  <mergeCells count="3">
    <mergeCell ref="A13:B13"/>
    <mergeCell ref="A14:B14"/>
    <mergeCell ref="A15:B15"/>
  </mergeCells>
  <pageMargins left="0.78749999999999998" right="0.78749999999999998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T24"/>
  <sheetViews>
    <sheetView workbookViewId="0">
      <selection activeCell="H34" sqref="H33:H34"/>
    </sheetView>
  </sheetViews>
  <sheetFormatPr baseColWidth="10" defaultColWidth="9.140625" defaultRowHeight="12.75" x14ac:dyDescent="0.2"/>
  <cols>
    <col min="1" max="1" width="11.42578125" customWidth="1"/>
    <col min="2" max="2" width="16.28515625" customWidth="1"/>
    <col min="3" max="3" width="4.85546875" customWidth="1"/>
    <col min="4" max="6" width="11.42578125" customWidth="1"/>
    <col min="7" max="7" width="4.7109375" customWidth="1"/>
    <col min="8" max="8" width="21.42578125" customWidth="1"/>
    <col min="9" max="9" width="2.140625" customWidth="1"/>
    <col min="10" max="10" width="11.42578125" customWidth="1"/>
    <col min="11" max="11" width="2.140625" customWidth="1"/>
    <col min="12" max="12" width="11.42578125" customWidth="1"/>
    <col min="13" max="13" width="2.140625" customWidth="1"/>
    <col min="14" max="14" width="11.42578125" customWidth="1"/>
    <col min="15" max="15" width="2.140625" customWidth="1"/>
    <col min="16" max="16" width="11.42578125" customWidth="1"/>
    <col min="17" max="17" width="2.140625" customWidth="1"/>
    <col min="18" max="18" width="11.42578125" customWidth="1"/>
    <col min="19" max="19" width="2.140625" customWidth="1"/>
    <col min="20" max="256" width="11.42578125" customWidth="1"/>
  </cols>
  <sheetData>
    <row r="1" spans="1:20" x14ac:dyDescent="0.2">
      <c r="B1" s="31" t="s">
        <v>38</v>
      </c>
      <c r="C1" s="32" t="s">
        <v>121</v>
      </c>
      <c r="D1" s="33" t="s">
        <v>40</v>
      </c>
      <c r="E1" s="34" t="s">
        <v>41</v>
      </c>
      <c r="F1" s="35" t="s">
        <v>42</v>
      </c>
      <c r="H1" s="1" t="s">
        <v>0</v>
      </c>
      <c r="I1" s="123"/>
      <c r="J1" s="124" t="s">
        <v>2</v>
      </c>
      <c r="K1" s="125"/>
      <c r="L1" s="124" t="s">
        <v>3</v>
      </c>
      <c r="M1" s="3"/>
      <c r="N1" s="124" t="s">
        <v>4</v>
      </c>
      <c r="O1" s="2"/>
      <c r="P1" s="124" t="s">
        <v>5</v>
      </c>
      <c r="Q1" s="3"/>
      <c r="R1" s="126" t="s">
        <v>6</v>
      </c>
      <c r="S1" s="3"/>
      <c r="T1" s="126" t="s">
        <v>7</v>
      </c>
    </row>
    <row r="2" spans="1:20" x14ac:dyDescent="0.2">
      <c r="A2" s="232" t="s">
        <v>2</v>
      </c>
      <c r="B2" s="10" t="s">
        <v>43</v>
      </c>
      <c r="C2" s="37">
        <v>15</v>
      </c>
      <c r="D2" s="38">
        <v>600</v>
      </c>
      <c r="E2" s="39">
        <f t="shared" ref="E2:E7" si="0">C2*D2</f>
        <v>9000</v>
      </c>
      <c r="F2" s="234">
        <f>SUM(E2:E7)</f>
        <v>25950</v>
      </c>
      <c r="H2" s="5" t="s">
        <v>10</v>
      </c>
      <c r="I2" s="127"/>
      <c r="J2" s="128">
        <f>$F2*'Recettes pointage long'!D2</f>
        <v>13925.851125216388</v>
      </c>
      <c r="L2" s="128">
        <f>E$9*'Recettes pointage long'!F2</f>
        <v>0</v>
      </c>
      <c r="N2" s="128">
        <f>E$10*'Recettes pointage long'!H2</f>
        <v>0</v>
      </c>
      <c r="P2" s="128">
        <f>E$11*'Recettes pointage long'!J2</f>
        <v>0</v>
      </c>
      <c r="R2" s="128">
        <f>E$12*'Recettes pointage long'!L2</f>
        <v>0</v>
      </c>
      <c r="T2" s="128">
        <f>E$13*'Recettes pointage long'!N2</f>
        <v>0</v>
      </c>
    </row>
    <row r="3" spans="1:20" x14ac:dyDescent="0.2">
      <c r="A3" s="232"/>
      <c r="B3" s="15" t="s">
        <v>46</v>
      </c>
      <c r="C3" s="45">
        <v>10</v>
      </c>
      <c r="D3" s="46">
        <v>1200</v>
      </c>
      <c r="E3" s="44">
        <f t="shared" si="0"/>
        <v>12000</v>
      </c>
      <c r="F3" s="234"/>
      <c r="H3" s="11" t="s">
        <v>11</v>
      </c>
      <c r="I3" s="127"/>
      <c r="J3" s="128">
        <f>$F2*'Recettes pointage long'!D3</f>
        <v>0</v>
      </c>
      <c r="L3" s="128">
        <f>E$9*'Recettes pointage long'!F3</f>
        <v>0</v>
      </c>
      <c r="N3" s="128">
        <f>E$10*'Recettes pointage long'!H3</f>
        <v>0</v>
      </c>
      <c r="P3" s="128">
        <f>E$11*'Recettes pointage long'!J3</f>
        <v>0</v>
      </c>
      <c r="R3" s="128">
        <f>E$12*'Recettes pointage long'!L3</f>
        <v>0</v>
      </c>
      <c r="T3" s="128">
        <f>E$13*'Recettes pointage long'!N3</f>
        <v>0</v>
      </c>
    </row>
    <row r="4" spans="1:20" x14ac:dyDescent="0.2">
      <c r="A4" s="232"/>
      <c r="B4" s="15" t="s">
        <v>48</v>
      </c>
      <c r="C4" s="45"/>
      <c r="D4" s="46">
        <v>525</v>
      </c>
      <c r="E4" s="44">
        <f t="shared" si="0"/>
        <v>0</v>
      </c>
      <c r="F4" s="234"/>
      <c r="H4" s="11" t="s">
        <v>12</v>
      </c>
      <c r="I4" s="127"/>
      <c r="J4" s="128">
        <f>$F2*'Recettes pointage long'!D4</f>
        <v>0</v>
      </c>
      <c r="L4" s="128">
        <f>E$9*'Recettes pointage long'!F4</f>
        <v>0</v>
      </c>
      <c r="N4" s="128">
        <f>E$10*'Recettes pointage long'!H4</f>
        <v>0</v>
      </c>
      <c r="P4" s="128">
        <f>E$11*'Recettes pointage long'!J4</f>
        <v>0</v>
      </c>
      <c r="R4" s="128">
        <f>E$12*'Recettes pointage long'!L4</f>
        <v>0</v>
      </c>
      <c r="T4" s="128">
        <f>E$13*'Recettes pointage long'!N4</f>
        <v>0</v>
      </c>
    </row>
    <row r="5" spans="1:20" x14ac:dyDescent="0.2">
      <c r="A5" s="232"/>
      <c r="B5" s="15" t="s">
        <v>49</v>
      </c>
      <c r="C5" s="45"/>
      <c r="D5" s="47">
        <v>1050</v>
      </c>
      <c r="E5" s="44">
        <f t="shared" si="0"/>
        <v>0</v>
      </c>
      <c r="F5" s="234"/>
      <c r="H5" s="11" t="s">
        <v>6</v>
      </c>
      <c r="I5" s="127"/>
      <c r="J5" s="128">
        <f>$F2*'Recettes pointage long'!D5</f>
        <v>0</v>
      </c>
      <c r="L5" s="128">
        <f>E$9*'Recettes pointage long'!F5</f>
        <v>0</v>
      </c>
      <c r="N5" s="128">
        <f>E$10*'Recettes pointage long'!H5</f>
        <v>0</v>
      </c>
      <c r="P5" s="128">
        <f>E$11*'Recettes pointage long'!J5</f>
        <v>0</v>
      </c>
      <c r="R5" s="128">
        <f>E$12*'Recettes pointage long'!L5</f>
        <v>0</v>
      </c>
      <c r="T5" s="128">
        <f>E$13*'Recettes pointage long'!N5</f>
        <v>0</v>
      </c>
    </row>
    <row r="6" spans="1:20" x14ac:dyDescent="0.2">
      <c r="A6" s="232"/>
      <c r="B6" s="15" t="s">
        <v>50</v>
      </c>
      <c r="C6" s="45">
        <v>9</v>
      </c>
      <c r="D6" s="47">
        <v>550</v>
      </c>
      <c r="E6" s="44">
        <f t="shared" si="0"/>
        <v>4950</v>
      </c>
      <c r="F6" s="234"/>
      <c r="H6" s="11" t="s">
        <v>13</v>
      </c>
      <c r="I6" s="127"/>
      <c r="J6" s="128">
        <f>$F2*'Recettes pointage long'!D6</f>
        <v>1048.1823427582228</v>
      </c>
      <c r="L6" s="128">
        <f>E$9*'Recettes pointage long'!F6</f>
        <v>0</v>
      </c>
      <c r="N6" s="128">
        <f>E$10*'Recettes pointage long'!H6</f>
        <v>0</v>
      </c>
      <c r="P6" s="128">
        <f>E$11*'Recettes pointage long'!J6</f>
        <v>0</v>
      </c>
      <c r="R6" s="128">
        <f>E$12*'Recettes pointage long'!L6</f>
        <v>0</v>
      </c>
      <c r="T6" s="128">
        <f>E$13*'Recettes pointage long'!N6</f>
        <v>0</v>
      </c>
    </row>
    <row r="7" spans="1:20" x14ac:dyDescent="0.2">
      <c r="A7" s="232"/>
      <c r="B7" s="20" t="s">
        <v>122</v>
      </c>
      <c r="C7" s="55"/>
      <c r="D7" s="56">
        <v>550</v>
      </c>
      <c r="E7" s="57">
        <f t="shared" si="0"/>
        <v>0</v>
      </c>
      <c r="F7" s="234"/>
      <c r="H7" s="11" t="s">
        <v>14</v>
      </c>
      <c r="I7" s="127"/>
      <c r="J7" s="128">
        <f>$F2*'Recettes pointage long'!D7</f>
        <v>0</v>
      </c>
      <c r="L7" s="128">
        <f>E$9*'Recettes pointage long'!F7</f>
        <v>0</v>
      </c>
      <c r="N7" s="128">
        <f>E$10*'Recettes pointage long'!H7</f>
        <v>0</v>
      </c>
      <c r="P7" s="128">
        <f>E$11*'Recettes pointage long'!J7</f>
        <v>0</v>
      </c>
      <c r="R7" s="128">
        <f>E$12*'Recettes pointage long'!L7</f>
        <v>0</v>
      </c>
      <c r="T7" s="128">
        <f>E$13*'Recettes pointage long'!N7</f>
        <v>0</v>
      </c>
    </row>
    <row r="8" spans="1:20" x14ac:dyDescent="0.2">
      <c r="C8" s="48"/>
      <c r="H8" s="11" t="s">
        <v>15</v>
      </c>
      <c r="I8" s="127"/>
      <c r="J8" s="128">
        <f>$F2*'Recettes pointage long'!D8</f>
        <v>10556.693594922101</v>
      </c>
      <c r="L8" s="128">
        <f>E$9*'Recettes pointage long'!F8</f>
        <v>0</v>
      </c>
      <c r="N8" s="128">
        <f>E$10*'Recettes pointage long'!H8</f>
        <v>0</v>
      </c>
      <c r="P8" s="128">
        <f>E$11*'Recettes pointage long'!J8</f>
        <v>0</v>
      </c>
      <c r="R8" s="128">
        <f>E$12*'Recettes pointage long'!L8</f>
        <v>0</v>
      </c>
      <c r="T8" s="128">
        <f>E$13*'Recettes pointage long'!N8</f>
        <v>0</v>
      </c>
    </row>
    <row r="9" spans="1:20" x14ac:dyDescent="0.2">
      <c r="A9" s="232" t="s">
        <v>60</v>
      </c>
      <c r="B9" s="10" t="s">
        <v>61</v>
      </c>
      <c r="C9" s="58"/>
      <c r="D9" s="59">
        <v>600</v>
      </c>
      <c r="E9" s="39">
        <f>C9*D9</f>
        <v>0</v>
      </c>
      <c r="F9" s="60"/>
      <c r="H9" s="11" t="s">
        <v>16</v>
      </c>
      <c r="I9" s="127"/>
      <c r="J9" s="128">
        <f>$F2*'Recettes pointage long'!D9</f>
        <v>0</v>
      </c>
      <c r="L9" s="128">
        <f>E$9*'Recettes pointage long'!F9</f>
        <v>0</v>
      </c>
      <c r="N9" s="128">
        <f>E$10*'Recettes pointage long'!H9</f>
        <v>0</v>
      </c>
      <c r="P9" s="128">
        <f>E$11*'Recettes pointage long'!J9</f>
        <v>0</v>
      </c>
      <c r="R9" s="128">
        <f>E$12*'Recettes pointage long'!L9</f>
        <v>0</v>
      </c>
      <c r="T9" s="128">
        <f>E$13*'Recettes pointage long'!N9</f>
        <v>0</v>
      </c>
    </row>
    <row r="10" spans="1:20" x14ac:dyDescent="0.2">
      <c r="A10" s="232"/>
      <c r="B10" s="15" t="s">
        <v>65</v>
      </c>
      <c r="C10" s="64"/>
      <c r="D10" s="47">
        <v>600</v>
      </c>
      <c r="E10" s="44">
        <f>C10*D10</f>
        <v>0</v>
      </c>
      <c r="F10" s="65"/>
      <c r="H10" s="11" t="s">
        <v>17</v>
      </c>
      <c r="I10" s="127"/>
      <c r="J10" s="128">
        <f>$F2*'Recettes pointage long'!D10</f>
        <v>149.7403346797461</v>
      </c>
      <c r="L10" s="128">
        <f>E$9*'Recettes pointage long'!F10</f>
        <v>0</v>
      </c>
      <c r="N10" s="128">
        <f>E$10*'Recettes pointage long'!H10</f>
        <v>0</v>
      </c>
      <c r="P10" s="128">
        <f>E$11*'Recettes pointage long'!J10</f>
        <v>0</v>
      </c>
      <c r="R10" s="128">
        <f>E$12*'Recettes pointage long'!L10</f>
        <v>0</v>
      </c>
      <c r="T10" s="128">
        <f>E$13*'Recettes pointage long'!N10</f>
        <v>0</v>
      </c>
    </row>
    <row r="11" spans="1:20" x14ac:dyDescent="0.2">
      <c r="A11" s="232"/>
      <c r="B11" s="15" t="s">
        <v>68</v>
      </c>
      <c r="C11" s="64"/>
      <c r="D11" s="47">
        <v>600</v>
      </c>
      <c r="E11" s="44">
        <f>C11*D11</f>
        <v>0</v>
      </c>
      <c r="F11" s="65"/>
      <c r="H11" s="11" t="s">
        <v>18</v>
      </c>
      <c r="I11" s="127"/>
      <c r="J11" s="128">
        <f>$F2*'Recettes pointage long'!D11</f>
        <v>269.53260242354298</v>
      </c>
      <c r="L11" s="128">
        <f>E$9*'Recettes pointage long'!F11</f>
        <v>0</v>
      </c>
      <c r="N11" s="128">
        <f>E$10*'Recettes pointage long'!H11</f>
        <v>0</v>
      </c>
      <c r="P11" s="128">
        <f>E$11*'Recettes pointage long'!J11</f>
        <v>0</v>
      </c>
      <c r="R11" s="128">
        <f>E$12*'Recettes pointage long'!L11</f>
        <v>0</v>
      </c>
      <c r="T11" s="128">
        <f>E$13*'Recettes pointage long'!N11</f>
        <v>0</v>
      </c>
    </row>
    <row r="12" spans="1:20" x14ac:dyDescent="0.2">
      <c r="A12" s="232"/>
      <c r="B12" s="50" t="s">
        <v>74</v>
      </c>
      <c r="C12" s="67"/>
      <c r="D12" s="52">
        <v>600</v>
      </c>
      <c r="E12" s="69">
        <f>C12*D12</f>
        <v>0</v>
      </c>
      <c r="F12" s="68"/>
      <c r="H12" s="129" t="s">
        <v>19</v>
      </c>
      <c r="I12" s="127"/>
      <c r="J12" s="128">
        <f>$F2*'Recettes pointage long'!D12</f>
        <v>0</v>
      </c>
      <c r="L12" s="128">
        <f>E$9*'Recettes pointage long'!F12</f>
        <v>0</v>
      </c>
      <c r="N12" s="128">
        <f>E$10*'Recettes pointage long'!H12</f>
        <v>0</v>
      </c>
      <c r="P12" s="128">
        <f>E$11*'Recettes pointage long'!J12</f>
        <v>0</v>
      </c>
      <c r="R12" s="128">
        <f>E$12*'Recettes pointage long'!L12</f>
        <v>0</v>
      </c>
      <c r="T12" s="128">
        <f>E$13*'Recettes pointage long'!N12</f>
        <v>0</v>
      </c>
    </row>
    <row r="13" spans="1:20" ht="13.5" thickBot="1" x14ac:dyDescent="0.25">
      <c r="A13" s="232"/>
      <c r="B13" s="135" t="s">
        <v>75</v>
      </c>
      <c r="C13" s="67"/>
      <c r="D13" s="52">
        <v>600</v>
      </c>
      <c r="E13" s="69">
        <f>C13*D13</f>
        <v>0</v>
      </c>
      <c r="F13" s="68"/>
      <c r="P13" s="54">
        <f>P12/1.5</f>
        <v>0</v>
      </c>
      <c r="T13" s="54"/>
    </row>
    <row r="14" spans="1:20" ht="13.5" thickBot="1" x14ac:dyDescent="0.25">
      <c r="B14" s="136" t="s">
        <v>111</v>
      </c>
      <c r="C14" s="137"/>
      <c r="D14" s="138">
        <v>520</v>
      </c>
      <c r="E14" s="139">
        <f>(C14*D14)</f>
        <v>0</v>
      </c>
      <c r="F14" s="140"/>
    </row>
    <row r="16" spans="1:20" x14ac:dyDescent="0.2">
      <c r="H16" s="48" t="s">
        <v>17</v>
      </c>
      <c r="I16" s="233">
        <f>SUM(J10:T10)</f>
        <v>149.7403346797461</v>
      </c>
      <c r="J16" s="233"/>
    </row>
    <row r="17" spans="1:16" x14ac:dyDescent="0.2">
      <c r="H17" s="53" t="s">
        <v>56</v>
      </c>
      <c r="I17" s="233">
        <f>SUM(P12/1.5,(50*C4),(100*C5))</f>
        <v>0</v>
      </c>
      <c r="J17" s="233"/>
    </row>
    <row r="18" spans="1:16" x14ac:dyDescent="0.2">
      <c r="A18" t="s">
        <v>123</v>
      </c>
      <c r="B18" s="131">
        <f>SUM(C2:C13)</f>
        <v>34</v>
      </c>
      <c r="C18" s="131"/>
      <c r="H18" s="48" t="s">
        <v>58</v>
      </c>
      <c r="I18" s="233">
        <f>50*C6</f>
        <v>450</v>
      </c>
      <c r="J18" s="233"/>
    </row>
    <row r="19" spans="1:16" x14ac:dyDescent="0.2">
      <c r="H19" s="48" t="s">
        <v>124</v>
      </c>
      <c r="I19" s="233">
        <f>50*C7</f>
        <v>0</v>
      </c>
      <c r="J19" s="233"/>
    </row>
    <row r="21" spans="1:16" x14ac:dyDescent="0.2">
      <c r="J21" s="215" t="s">
        <v>94</v>
      </c>
      <c r="K21" s="132"/>
      <c r="L21" s="215" t="s">
        <v>95</v>
      </c>
      <c r="M21" s="132"/>
      <c r="N21" s="215" t="s">
        <v>50</v>
      </c>
      <c r="O21" s="132"/>
      <c r="P21" s="215" t="s">
        <v>122</v>
      </c>
    </row>
    <row r="22" spans="1:16" x14ac:dyDescent="0.2">
      <c r="H22" s="100" t="s">
        <v>97</v>
      </c>
      <c r="I22" s="133"/>
      <c r="J22" s="10">
        <f>E2+E3</f>
        <v>21000</v>
      </c>
      <c r="K22" s="133"/>
      <c r="L22" s="10">
        <f>E4+E5</f>
        <v>0</v>
      </c>
      <c r="M22" s="133"/>
      <c r="N22" s="10">
        <f>E6</f>
        <v>4950</v>
      </c>
      <c r="O22" s="133"/>
      <c r="P22" s="10">
        <f>E7</f>
        <v>0</v>
      </c>
    </row>
    <row r="23" spans="1:16" ht="25.5" x14ac:dyDescent="0.2">
      <c r="H23" s="105" t="s">
        <v>125</v>
      </c>
      <c r="I23" s="134"/>
      <c r="J23" s="106">
        <v>0</v>
      </c>
      <c r="K23" s="134"/>
      <c r="L23" s="106">
        <f>(75*C4)+(150*C5)</f>
        <v>0</v>
      </c>
      <c r="M23" s="134"/>
      <c r="N23" s="106">
        <f>50*C6</f>
        <v>450</v>
      </c>
      <c r="O23" s="134"/>
      <c r="P23" s="106">
        <f>50*C7</f>
        <v>0</v>
      </c>
    </row>
    <row r="24" spans="1:16" x14ac:dyDescent="0.2">
      <c r="L24">
        <f>L23/1.5</f>
        <v>0</v>
      </c>
    </row>
  </sheetData>
  <sheetProtection selectLockedCells="1" selectUnlockedCells="1"/>
  <mergeCells count="7">
    <mergeCell ref="I19:J19"/>
    <mergeCell ref="A2:A7"/>
    <mergeCell ref="F2:F7"/>
    <mergeCell ref="A9:A13"/>
    <mergeCell ref="I16:J16"/>
    <mergeCell ref="I17:J17"/>
    <mergeCell ref="I18:J18"/>
  </mergeCells>
  <pageMargins left="0.78749999999999998" right="0.78749999999999998" top="0.98402777777777772" bottom="0.98402777777777772" header="0.51180555555555551" footer="0.51180555555555551"/>
  <pageSetup paperSize="9" scale="75" firstPageNumber="0" orientation="landscape" horizontalDpi="4294967293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1</vt:i4>
      </vt:variant>
    </vt:vector>
  </HeadingPairs>
  <TitlesOfParts>
    <vt:vector size="5" baseType="lpstr">
      <vt:lpstr>Recettes direct</vt:lpstr>
      <vt:lpstr>calcul direct</vt:lpstr>
      <vt:lpstr>Recettes pointage long</vt:lpstr>
      <vt:lpstr>calcul long</vt:lpstr>
      <vt:lpstr>'calcul direct'!Zone_d_impression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PC Maison</dc:creator>
  <cp:keywords/>
  <dc:description/>
  <cp:lastModifiedBy>Hevré Hazard</cp:lastModifiedBy>
  <cp:revision/>
  <cp:lastPrinted>2023-08-22T15:59:22Z</cp:lastPrinted>
  <dcterms:created xsi:type="dcterms:W3CDTF">2019-11-28T13:49:44Z</dcterms:created>
  <dcterms:modified xsi:type="dcterms:W3CDTF">2023-08-29T15:23:58Z</dcterms:modified>
  <cp:category/>
  <cp:contentStatus/>
</cp:coreProperties>
</file>