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p_cmd" sheetId="1" state="visible" r:id="rId2"/>
    <sheet name="cp_recap" sheetId="2" state="visible" r:id="rId3"/>
    <sheet name="Recettes" sheetId="3" state="visible" r:id="rId4"/>
  </sheets>
  <definedNames>
    <definedName function="false" hidden="false" localSheetId="0" name="_xlnm.Print_Area" vbProcedure="false">cp_cmd!$E$2:$Q$24</definedName>
    <definedName function="false" hidden="false" localSheetId="1" name="_xlnm.Print_Area" vbProcedure="false">cp_recap!$A$1:$D$30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<sst xmlns="http://schemas.openxmlformats.org/spreadsheetml/2006/main" count="309" uniqueCount="176">
  <si>
    <t xml:space="preserve">Production du 19/01/21</t>
  </si>
  <si>
    <t xml:space="preserve">cmd_id</t>
  </si>
  <si>
    <t xml:space="preserve">cmd_status</t>
  </si>
  <si>
    <t xml:space="preserve">cmd_date</t>
  </si>
  <si>
    <t xml:space="preserve">distri</t>
  </si>
  <si>
    <t xml:space="preserve">moule</t>
  </si>
  <si>
    <t xml:space="preserve">Terminée</t>
  </si>
  <si>
    <t xml:space="preserve">2021-01-17 21:03:51</t>
  </si>
  <si>
    <t xml:space="preserve">Tournefeuille (à domicile)</t>
  </si>
  <si>
    <t xml:space="preserve">Moule 1Kg</t>
  </si>
  <si>
    <t xml:space="preserve">PdM-Vegan</t>
  </si>
  <si>
    <t xml:space="preserve">Tournesol</t>
  </si>
  <si>
    <t xml:space="preserve">Trio</t>
  </si>
  <si>
    <t xml:space="preserve">2021-01-11 15:09:18</t>
  </si>
  <si>
    <t xml:space="preserve">Moule Long</t>
  </si>
  <si>
    <t xml:space="preserve">Poids pain</t>
  </si>
  <si>
    <t xml:space="preserve">Total Farine</t>
  </si>
  <si>
    <t xml:space="preserve">Moule 600g</t>
  </si>
  <si>
    <t xml:space="preserve">Sarrazin</t>
  </si>
  <si>
    <t xml:space="preserve">2021-01-18 15:39:21</t>
  </si>
  <si>
    <t xml:space="preserve">Seigle</t>
  </si>
  <si>
    <t xml:space="preserve">Blé</t>
  </si>
  <si>
    <t xml:space="preserve">En attente</t>
  </si>
  <si>
    <t xml:space="preserve">2021-01-18 14:07:35</t>
  </si>
  <si>
    <t xml:space="preserve">Baneton 600g</t>
  </si>
  <si>
    <t xml:space="preserve">Eau</t>
  </si>
  <si>
    <t xml:space="preserve">Lev1/LevUre</t>
  </si>
  <si>
    <t xml:space="preserve">Sel</t>
  </si>
  <si>
    <t xml:space="preserve">2021-01-17 21:20:24</t>
  </si>
  <si>
    <t xml:space="preserve">Miel</t>
  </si>
  <si>
    <t xml:space="preserve">2021-01-18 10:17:58</t>
  </si>
  <si>
    <t xml:space="preserve">Huile</t>
  </si>
  <si>
    <t xml:space="preserve">Lait</t>
  </si>
  <si>
    <t xml:space="preserve">2021-01-18 09:00:49</t>
  </si>
  <si>
    <t xml:space="preserve">Poids total</t>
  </si>
  <si>
    <t xml:space="preserve">2021-01-17 21:13:19</t>
  </si>
  <si>
    <t xml:space="preserve">2021-01-17 21:40:15</t>
  </si>
  <si>
    <t xml:space="preserve">Moule 300g</t>
  </si>
  <si>
    <t xml:space="preserve">2021-01-18 10:22:01</t>
  </si>
  <si>
    <t xml:space="preserve">2021-01-17 22:11:42</t>
  </si>
  <si>
    <t xml:space="preserve">2021-01-17 21:19:44</t>
  </si>
  <si>
    <t xml:space="preserve">2021-01-18 05:10:05</t>
  </si>
  <si>
    <t xml:space="preserve">2021-01-18 09:48:51</t>
  </si>
  <si>
    <t xml:space="preserve">nom</t>
  </si>
  <si>
    <t xml:space="preserve">pa_poids</t>
  </si>
  <si>
    <t xml:space="preserve">quantite</t>
  </si>
  <si>
    <t xml:space="preserve">Batard Nature</t>
  </si>
  <si>
    <t xml:space="preserve">600g</t>
  </si>
  <si>
    <t xml:space="preserve">1kg</t>
  </si>
  <si>
    <t xml:space="preserve">1-5kg</t>
  </si>
  <si>
    <t xml:space="preserve">Moulé Nature</t>
  </si>
  <si>
    <t xml:space="preserve">800g</t>
  </si>
  <si>
    <t xml:space="preserve">Moulé Tournesol</t>
  </si>
  <si>
    <t xml:space="preserve">650g</t>
  </si>
  <si>
    <t xml:space="preserve">850g</t>
  </si>
  <si>
    <t xml:space="preserve">Batard Tournesol</t>
  </si>
  <si>
    <t xml:space="preserve">Pain de mie du Sud Ouest</t>
  </si>
  <si>
    <t xml:space="preserve">500g</t>
  </si>
  <si>
    <t xml:space="preserve">Moulé Petit Epeautre</t>
  </si>
  <si>
    <t xml:space="preserve">300g</t>
  </si>
  <si>
    <t xml:space="preserve">1kg-format-long</t>
  </si>
  <si>
    <t xml:space="preserve">Pain burger</t>
  </si>
  <si>
    <t xml:space="preserve">110g</t>
  </si>
  <si>
    <t xml:space="preserve">Nature</t>
  </si>
  <si>
    <t xml:space="preserve">PE</t>
  </si>
  <si>
    <t xml:space="preserve">Mie Froid</t>
  </si>
  <si>
    <t xml:space="preserve">Pizza Froid</t>
  </si>
  <si>
    <t xml:space="preserve">Tournesol V2</t>
  </si>
  <si>
    <t xml:space="preserve">Total Nature</t>
  </si>
  <si>
    <t xml:space="preserve">Delta Tournesol</t>
  </si>
  <si>
    <t xml:space="preserve">PdM Vegan</t>
  </si>
  <si>
    <t xml:space="preserve">Farine Sarrazin</t>
  </si>
  <si>
    <t xml:space="preserve">Paton</t>
  </si>
  <si>
    <t xml:space="preserve">Farine Seigle</t>
  </si>
  <si>
    <t xml:space="preserve">Graine</t>
  </si>
  <si>
    <t xml:space="preserve">Farine de blé</t>
  </si>
  <si>
    <t xml:space="preserve">TH</t>
  </si>
  <si>
    <t xml:space="preserve">Sucre</t>
  </si>
  <si>
    <t xml:space="preserve">Beurre</t>
  </si>
  <si>
    <t xml:space="preserve">Oeufs</t>
  </si>
  <si>
    <t xml:space="preserve">Total pate</t>
  </si>
  <si>
    <t xml:space="preserve">1000g T45 18g sel 30g levure 50g sucre 40g beurre 520g eau 50g peuf 30g huile </t>
  </si>
  <si>
    <t xml:space="preserve">50% Farine</t>
  </si>
  <si>
    <t xml:space="preserve">Pain bis</t>
  </si>
  <si>
    <t xml:space="preserve">Base de calcul</t>
  </si>
  <si>
    <t xml:space="preserve">100% pop Bouviers ou 50Bouvier-50Biograneta ou 100% Biograneta</t>
  </si>
  <si>
    <t xml:space="preserve">100% nogal</t>
  </si>
  <si>
    <t xml:space="preserve">50% nogal/50%Belvisio</t>
  </si>
  <si>
    <t xml:space="preserve">100% touzelle Biograneta</t>
  </si>
  <si>
    <t xml:space="preserve">RespectusPanis PE Biograneta</t>
  </si>
  <si>
    <t xml:space="preserve">RespectusPanis Tournesol</t>
  </si>
  <si>
    <t xml:space="preserve">RespectusPanis Nature</t>
  </si>
  <si>
    <t xml:space="preserve">Tournesol v2</t>
  </si>
  <si>
    <t xml:space="preserve">Pain de mie Froid</t>
  </si>
  <si>
    <t xml:space="preserve">Pizzas Froid</t>
  </si>
  <si>
    <t xml:space="preserve">Pain cuit</t>
  </si>
  <si>
    <t xml:space="preserve">au garage</t>
  </si>
  <si>
    <t xml:space="preserve">avec coussin chauffant https://www.amazon.fr/dp/B07DNQ3DJF/ref=twister_B07JKPGLHC?_encoding=UTF8&amp;psc=1#customerReviews</t>
  </si>
  <si>
    <t xml:space="preserve">Levain</t>
  </si>
  <si>
    <t xml:space="preserve">Œufs / Lait</t>
  </si>
  <si>
    <t xml:space="preserve">Total Pate</t>
  </si>
  <si>
    <t xml:space="preserve">non</t>
  </si>
  <si>
    <t xml:space="preserve">https://www.caloria.fr/6339-four-patissier-230v-humidificateur-4-niveaux-diamond.html</t>
  </si>
  <si>
    <t xml:space="preserve">TH total</t>
  </si>
  <si>
    <t xml:space="preserve">https://www.quiditmieux.fr/four-a-convection-mecanique-4-niveaux-60-x-40-gn-1-1-technitalia,fr,4,FM461.cfm</t>
  </si>
  <si>
    <t xml:space="preserve">%seigle</t>
  </si>
  <si>
    <t xml:space="preserve">%levain</t>
  </si>
  <si>
    <t xml:space="preserve">https://www.chr-master.com/four-mixte-a-convection/2324-four-patissier-a-convection-avec-humidificateur-t04m-digital-gamme-torcello-venix.html</t>
  </si>
  <si>
    <t xml:space="preserve">TB</t>
  </si>
  <si>
    <t xml:space="preserve">Trop sec</t>
  </si>
  <si>
    <t xml:space="preserve">hendi</t>
  </si>
  <si>
    <t xml:space="preserve">83mm</t>
  </si>
  <si>
    <t xml:space="preserve">2 vit rot°</t>
  </si>
  <si>
    <t xml:space="preserve">https://www.stock-direct-chr.com/four-de-boulangerie-et-de-patisserie-230v-3-4-kw-225516-hendifoodserviceequipement/p19229</t>
  </si>
  <si>
    <t xml:space="preserve">Four pizza</t>
  </si>
  <si>
    <t xml:space="preserve">gastr</t>
  </si>
  <si>
    <t xml:space="preserve">0,98m²</t>
  </si>
  <si>
    <t xml:space="preserve">https://www.materielpizzadirect.com/four-a-pizza-electrique-professionnel/604-four-a-pizza-electrique-four-8-pizzas-professionnel-33-cm-230v-380v-3700912105141.html#/15-puissance-230v/14-assurance-assurance_1_an</t>
  </si>
  <si>
    <t xml:space="preserve">1,47m²</t>
  </si>
  <si>
    <t xml:space="preserve">https://www.materielpizzadirect.com/four-a-pizza-electrique-professionnel/602-four-a-pizza-electrique-professionnel-four-12-pizzas-33-cm-230v380v-3700912105158.html?search_query=prim12&amp;results=5</t>
  </si>
  <si>
    <t xml:space="preserve">Tout refrac</t>
  </si>
  <si>
    <t xml:space="preserve">https://www.materielpizzadirect.com/four-a-pizza-electrique-professionnel/14315-four-pizzas-electrique-2x6-pizzas-pizza-group-3700912105103.html?search_query=TOUT+REFRACTAIRE&amp;results=789</t>
  </si>
  <si>
    <t xml:space="preserve">https://www.gastrovens.com/fr/linea-economica/30-f66.html</t>
  </si>
  <si>
    <t xml:space="preserve">1,15m²</t>
  </si>
  <si>
    <t xml:space="preserve">https://matosprochr.fr/produit/four-a-pizza-66x30cm/</t>
  </si>
  <si>
    <t xml:space="preserve">1,30m²</t>
  </si>
  <si>
    <t xml:space="preserve">https://matosprochr.fr/produit/four-a-pizza-66x32cm/</t>
  </si>
  <si>
    <t xml:space="preserve">https://www.proinoxchr.fr/fr/fours-electriques-proline/5059-four-a-pizzas-electrique-2-chambres-triphase-12-pizzas-diametre-33cm.html</t>
  </si>
  <si>
    <t xml:space="preserve">pierre de chamotte</t>
  </si>
  <si>
    <t xml:space="preserve">https://alsace-tradition.fr/pierres-refractaires/2-pierre-refractaire-40-x-30-cm.html#/1-epaisseur-3_cm</t>
  </si>
  <si>
    <t xml:space="preserve">couche de lin</t>
  </si>
  <si>
    <t xml:space="preserve">http://www.cotonis.fr/toile-de-couche-pour-boulangerie.html</t>
  </si>
  <si>
    <t xml:space="preserve">T°Pointage 25°</t>
  </si>
  <si>
    <t xml:space="preserve">chambre de pousse</t>
  </si>
  <si>
    <t xml:space="preserve">venix 8niv 600x400</t>
  </si>
  <si>
    <t xml:space="preserve">https://www.chr-master.com/etuves-chauffantesfermentation/2357-etuve-chauffante-statique-8-niveaux-600-x-400-gn-11-pour-four-venix-b04dm-b03dm-t04dm-t06dm.html#/477-venix_four_mixte_a_vapeur_par_injection-sans</t>
  </si>
  <si>
    <t xml:space="preserve">5 rabat 10'</t>
  </si>
  <si>
    <t xml:space="preserve">Pétrin</t>
  </si>
  <si>
    <t xml:space="preserve">Pain de mie CAP</t>
  </si>
  <si>
    <t xml:space="preserve">Frigo après 1h</t>
  </si>
  <si>
    <t xml:space="preserve">axe obli</t>
  </si>
  <si>
    <t xml:space="preserve">65Litres</t>
  </si>
  <si>
    <t xml:space="preserve">https://matosprochr.fr/produit/petrin-65-litres-380v-obliques/</t>
  </si>
  <si>
    <t xml:space="preserve">Farine</t>
  </si>
  <si>
    <t xml:space="preserve">340 g de levain mûr</t>
  </si>
  <si>
    <t xml:space="preserve">cuve amovile</t>
  </si>
  <si>
    <t xml:space="preserve">53Litres</t>
  </si>
  <si>
    <t xml:space="preserve">https://matosprochr.fr/produit/petrin-53-litres-tete-relevablecuve-amovible-2-vitesses-380v/</t>
  </si>
  <si>
    <t xml:space="preserve">53 Litres, Mono, vitesse var</t>
  </si>
  <si>
    <t xml:space="preserve">https://www.chr-master.com/petrin-tete-relevable-et-cuve-extractible/1292-petrins-avec-tete-soulevable-et-cuve-extractible-53-litres-monophase-modele-ir53-vs-pizza-group.html</t>
  </si>
  <si>
    <t xml:space="preserve">Oeuf</t>
  </si>
  <si>
    <t xml:space="preserve">https://www.stock-direct-chr.com/petrin-pizza-professionnel-cuve-extractible-53-litres-monophase-vitesse-variable-ir53vs-pizzagroup/p19649</t>
  </si>
  <si>
    <t xml:space="preserve">huile</t>
  </si>
  <si>
    <t xml:space="preserve">cuve amo</t>
  </si>
  <si>
    <t xml:space="preserve">32litres, 1vitesse, mono</t>
  </si>
  <si>
    <t xml:space="preserve">https://matosprochr.fr/produit/petrin-30-litres-tete-relevable-cuve-extrictableminuteur-230v-mono/</t>
  </si>
  <si>
    <t xml:space="preserve">Four boulanger</t>
  </si>
  <si>
    <t xml:space="preserve">Frigo en 60x40</t>
  </si>
  <si>
    <t xml:space="preserve">https://restaudepot31.fr/epages/LaPoste.sf/fr_FR/?ObjectPath=/Shops/box82488-170814/Products/Faf650</t>
  </si>
  <si>
    <t xml:space="preserve">Levure</t>
  </si>
  <si>
    <t xml:space="preserve">L2G frigo GN2/1</t>
  </si>
  <si>
    <t xml:space="preserve">https://www.quiditmieux.fr/armoire-refrigeree-laquee-blanc-600-litres-qdm,fr,4,AW-R600.cfm</t>
  </si>
  <si>
    <t xml:space="preserve">https://www.stock-direct-chr.com/armoire-refrigeree-blanche-plus2-plus8degrec600l-gaz-r600a-avec-3plus1-clayettes-fermeture-a-cle-aw-rc600-l2g/p17801</t>
  </si>
  <si>
    <t xml:space="preserve">frigo GN2/1</t>
  </si>
  <si>
    <t xml:space="preserve">https://www.materielpizzadirect.com/armoire-froide-1-porte/589-armoire-refrigeree-positive-paiement-4x-gn-21-garantie-2-ans-600-l-classe-n-8080898815858.html</t>
  </si>
  <si>
    <t xml:space="preserve">chambre de pousse 60x40 2ex</t>
  </si>
  <si>
    <t xml:space="preserve">Grille 800x600</t>
  </si>
  <si>
    <t xml:space="preserve">http://www.distri-chariot.com/index.php?page=afficher_produit&amp;id_com=1361324&amp;lg=1</t>
  </si>
  <si>
    <t xml:space="preserve">Panibois vicomte</t>
  </si>
  <si>
    <t xml:space="preserve">https://www.embalimat.com/moule-en-bois/304-100-pani-moule-vicomte-moule-de-cuisson-en-bois-panibois-2049300450090.html</t>
  </si>
  <si>
    <t xml:space="preserve">Filtre a Eau </t>
  </si>
  <si>
    <t xml:space="preserve">berkey</t>
  </si>
  <si>
    <t xml:space="preserve">avec robinet inox</t>
  </si>
  <si>
    <t xml:space="preserve">https://www.berkeywaterfilterseurope.fr/filtre-a-eau-crown-berkey</t>
  </si>
  <si>
    <t xml:space="preserve">Sotackage Eau bocal 5L</t>
  </si>
  <si>
    <t xml:space="preserve">https://www.amazon.fr/Bouchon-original-conservation-recettes-bormioli/dp/B00KNXSVQY/ref=sr_1_5?__mk_fr_FR=%C3%85M%C3%85%C5%BD%C3%95%C3%91&amp;keywords=bocal+10L&amp;qid=1573208165&amp;s=kitchen&amp;sr=1-5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</si>
</sst>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"/>
    <numFmt numFmtId="166" formatCode="0.0"/>
    <numFmt numFmtId="167" formatCode="0.0%"/>
    <numFmt numFmtId="168" formatCode="0.00\ %"/>
    <numFmt numFmtId="169" formatCode="0\ %"/>
    <numFmt numFmtId="170" formatCode="0.0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u val="single"/>
      <sz val="11"/>
      <color rgb="FF0066CC"/>
      <name val="Calibri"/>
      <family val="0"/>
      <charset val="1"/>
    </font>
    <font>
      <sz val="12"/>
      <color rgb="FF800000"/>
      <name val="Times New Roman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s://www.caloria.fr/6339-four-patissier-230v-humidificateur-4-niveaux-diamond.html" TargetMode="External"/><Relationship Id="rId2" Type="http://schemas.openxmlformats.org/officeDocument/2006/relationships/hyperlink" Target="https://www.quiditmieux.fr/four-a-convection-mecanique-4-niveaux-60-x-40-gn-1-1-technitalia,fr,4,FM461.cfm" TargetMode="External"/><Relationship Id="rId3" Type="http://schemas.openxmlformats.org/officeDocument/2006/relationships/hyperlink" Target="https://www.chr-master.com/four-mixte-a-convection/2324-four-patissier-a-convection-avec-humidificateur-t04m-digital-gamme-torcello-venix.html" TargetMode="External"/><Relationship Id="rId4" Type="http://schemas.openxmlformats.org/officeDocument/2006/relationships/hyperlink" Target="https://www.stock-direct-chr.com/four-de-boulangerie-et-de-patisserie-230v-3-4-kw-225516-hendifoodserviceequipement/p19229" TargetMode="External"/><Relationship Id="rId5" Type="http://schemas.openxmlformats.org/officeDocument/2006/relationships/hyperlink" Target="https://www.materielpizzadirect.com/four-a-pizza-electrique-professionnel/604-four-a-pizza-electrique-four-8-pizzas-professionnel-33-cm-230v-380v-3700912105141.html" TargetMode="External"/><Relationship Id="rId6" Type="http://schemas.openxmlformats.org/officeDocument/2006/relationships/hyperlink" Target="https://www.materielpizzadirect.com/four-a-pizza-electrique-professionnel/602-four-a-pizza-electrique-professionnel-four-12-pizzas-33-cm-230v380v-3700912105158.html?search_query=prim12&amp;results=5" TargetMode="External"/><Relationship Id="rId7" Type="http://schemas.openxmlformats.org/officeDocument/2006/relationships/hyperlink" Target="https://www.materielpizzadirect.com/four-a-pizza-electrique-professionnel/14315-four-pizzas-electrique-2x6-pizzas-pizza-group-3700912105103.html?search_query=TOUT+REFRACTAIRE&amp;results=789" TargetMode="External"/><Relationship Id="rId8" Type="http://schemas.openxmlformats.org/officeDocument/2006/relationships/hyperlink" Target="https://www.gastrovens.com/fr/linea-economica/30-f66.html" TargetMode="External"/><Relationship Id="rId9" Type="http://schemas.openxmlformats.org/officeDocument/2006/relationships/hyperlink" Target="https://matosprochr.fr/produit/four-a-pizza-66x30cm/" TargetMode="External"/><Relationship Id="rId10" Type="http://schemas.openxmlformats.org/officeDocument/2006/relationships/hyperlink" Target="https://matosprochr.fr/produit/four-a-pizza-66x32cm/" TargetMode="External"/><Relationship Id="rId11" Type="http://schemas.openxmlformats.org/officeDocument/2006/relationships/hyperlink" Target="https://www.proinoxchr.fr/fr/fours-electriques-proline/5059-four-a-pizzas-electrique-2-chambres-triphase-12-pizzas-diametre-33cm.html" TargetMode="External"/><Relationship Id="rId12" Type="http://schemas.openxmlformats.org/officeDocument/2006/relationships/hyperlink" Target="https://alsace-tradition.fr/pierres-refractaires/2-pierre-refractaire-40-x-30-cm.html" TargetMode="External"/><Relationship Id="rId13" Type="http://schemas.openxmlformats.org/officeDocument/2006/relationships/hyperlink" Target="http://www.cotonis.fr/toile-de-couche-pour-boulangerie.html" TargetMode="External"/><Relationship Id="rId14" Type="http://schemas.openxmlformats.org/officeDocument/2006/relationships/hyperlink" Target="https://www.chr-master.com/etuves-chauffantesfermentation/2357-etuve-chauffante-statique-8-niveaux-600-x-400-gn-11-pour-four-venix-b04dm-b03dm-t04dm-t06dm.html" TargetMode="External"/><Relationship Id="rId15" Type="http://schemas.openxmlformats.org/officeDocument/2006/relationships/hyperlink" Target="https://matosprochr.fr/produit/petrin-65-litres-380v-obliques/" TargetMode="External"/><Relationship Id="rId16" Type="http://schemas.openxmlformats.org/officeDocument/2006/relationships/hyperlink" Target="https://matosprochr.fr/produit/petrin-53-litres-tete-relevablecuve-amovible-2-vitesses-380v/" TargetMode="External"/><Relationship Id="rId17" Type="http://schemas.openxmlformats.org/officeDocument/2006/relationships/hyperlink" Target="https://www.chr-master.com/petrin-tete-relevable-et-cuve-extractible/1292-petrins-avec-tete-soulevable-et-cuve-extractible-53-litres-monophase-modele-ir53-vs-pizza-group.html" TargetMode="External"/><Relationship Id="rId18" Type="http://schemas.openxmlformats.org/officeDocument/2006/relationships/hyperlink" Target="https://www.stock-direct-chr.com/petrin-pizza-professionnel-cuve-extractible-53-litres-monophase-vitesse-variable-ir53vs-pizzagroup/p19649" TargetMode="External"/><Relationship Id="rId19" Type="http://schemas.openxmlformats.org/officeDocument/2006/relationships/hyperlink" Target="https://matosprochr.fr/produit/petrin-30-litres-tete-relevable-cuve-extrictableminuteur-230v-mono/" TargetMode="External"/><Relationship Id="rId20" Type="http://schemas.openxmlformats.org/officeDocument/2006/relationships/hyperlink" Target="https://restaudepot31.fr/epages/LaPoste.sf/fr_FR/?ObjectPath=/Shops/box82488-170814/Products/Faf650" TargetMode="External"/><Relationship Id="rId21" Type="http://schemas.openxmlformats.org/officeDocument/2006/relationships/hyperlink" Target="https://www.quiditmieux.fr/armoire-refrigeree-laquee-blanc-600-litres-qdm,fr,4,AW-R600.cfm" TargetMode="External"/><Relationship Id="rId22" Type="http://schemas.openxmlformats.org/officeDocument/2006/relationships/hyperlink" Target="https://www.stock-direct-chr.com/armoire-refrigeree-blanche-plus2-plus8degrec600l-gaz-r600a-avec-3plus1-clayettes-fermeture-a-cle-aw-rc600-l2g/p17801" TargetMode="External"/><Relationship Id="rId23" Type="http://schemas.openxmlformats.org/officeDocument/2006/relationships/hyperlink" Target="https://www.materielpizzadirect.com/armoire-froide-1-porte/589-armoire-refrigeree-positive-paiement-4x-gn-21-garantie-2-ans-600-l-classe-n-8080898815858.html" TargetMode="External"/><Relationship Id="rId24" Type="http://schemas.openxmlformats.org/officeDocument/2006/relationships/hyperlink" Target="https://www.chr-master.com/etuves-chauffantesfermentation/2357-etuve-chauffante-statique-8-niveaux-600-x-400-gn-11-pour-four-venix-b04dm-b03dm-t04dm-t06dm.html" TargetMode="External"/><Relationship Id="rId25" Type="http://schemas.openxmlformats.org/officeDocument/2006/relationships/hyperlink" Target="http://www.distri-chariot.com/index.php?page=afficher_produit&amp;id_com=1361324&amp;lg=1" TargetMode="External"/><Relationship Id="rId26" Type="http://schemas.openxmlformats.org/officeDocument/2006/relationships/hyperlink" Target="https://www.embalimat.com/moule-en-bois/304-100-pani-moule-vicomte-moule-de-cuisson-en-bois-panibois-2049300450090.html" TargetMode="External"/><Relationship Id="rId27" Type="http://schemas.openxmlformats.org/officeDocument/2006/relationships/hyperlink" Target="https://www.berkeywaterfilterseurope.fr/filtre-a-eau-crown-berkey" TargetMode="External"/><Relationship Id="rId28" Type="http://schemas.openxmlformats.org/officeDocument/2006/relationships/hyperlink" Target="https://www.amazon.fr/Bouchon-original-conservation-recettes-bormioli/dp/B00KNXSVQY/ref=sr_1_5?__mk_fr_FR=&#197;M&#197;&#381;&#213;&#209;&amp;keywords=bocal+10L&amp;qid=1573208165&amp;s=kitchen&amp;sr=1-5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R26"/>
  <sheetViews>
    <sheetView showFormulas="false" showGridLines="true" showRowColHeaders="true" showZeros="true" rightToLeft="false" tabSelected="true" showOutlineSymbols="true" defaultGridColor="true" view="normal" topLeftCell="A1" colorId="64" zoomScale="84" zoomScaleNormal="84" zoomScalePageLayoutView="100" workbookViewId="0">
      <selection pane="topLeft" activeCell="K34" activeCellId="0" sqref="K34"/>
    </sheetView>
  </sheetViews>
  <sheetFormatPr defaultColWidth="9.06640625" defaultRowHeight="14.4" zeroHeight="false" outlineLevelRow="0" outlineLevelCol="0"/>
  <cols>
    <col collapsed="false" customWidth="true" hidden="true" outlineLevel="0" max="4" min="1" style="1" width="9.14"/>
    <col collapsed="false" customWidth="true" hidden="false" outlineLevel="0" max="5" min="5" style="1" width="22.06"/>
    <col collapsed="false" customWidth="true" hidden="false" outlineLevel="0" max="6" min="6" style="1" width="10.76"/>
    <col collapsed="false" customWidth="true" hidden="false" outlineLevel="0" max="7" min="7" style="1" width="10.4"/>
    <col collapsed="false" customWidth="true" hidden="false" outlineLevel="0" max="8" min="8" style="1" width="11.17"/>
    <col collapsed="false" customWidth="true" hidden="true" outlineLevel="0" max="9" min="9" style="1" width="14.86"/>
    <col collapsed="false" customWidth="true" hidden="true" outlineLevel="0" max="10" min="10" style="1" width="14.4"/>
    <col collapsed="false" customWidth="true" hidden="false" outlineLevel="0" max="11" min="11" style="1" width="16.14"/>
    <col collapsed="false" customWidth="true" hidden="true" outlineLevel="0" max="12" min="12" style="1" width="5.91"/>
    <col collapsed="false" customWidth="true" hidden="false" outlineLevel="0" max="13" min="13" style="1" width="10.66"/>
    <col collapsed="false" customWidth="true" hidden="false" outlineLevel="0" max="16" min="16" style="1" width="9.85"/>
    <col collapsed="false" customWidth="true" hidden="false" outlineLevel="0" max="17" min="17" style="1" width="11.81"/>
  </cols>
  <sheetData>
    <row r="1" customFormat="false" ht="13.8" hidden="false" customHeight="true" outlineLevel="0" collapsed="false">
      <c r="A1" s="1" t="s">
        <v>0</v>
      </c>
    </row>
    <row r="2" customFormat="false" ht="13.8" hidden="false" customHeight="true" outlineLevel="0" collapsed="false">
      <c r="A2" s="1" t="s">
        <v>1</v>
      </c>
      <c r="B2" s="1" t="s">
        <v>2</v>
      </c>
      <c r="C2" s="1" t="s">
        <v>3</v>
      </c>
      <c r="D2" s="1" t="s">
        <v>4</v>
      </c>
      <c r="L2" s="1" t="s">
        <v>5</v>
      </c>
    </row>
    <row r="3" customFormat="false" ht="13.8" hidden="false" customHeight="true" outlineLevel="0" collapsed="false">
      <c r="A3" s="1" t="n">
        <v>1315</v>
      </c>
      <c r="B3" s="1" t="s">
        <v>6</v>
      </c>
      <c r="C3" s="1" t="s">
        <v>7</v>
      </c>
      <c r="D3" s="1" t="s">
        <v>8</v>
      </c>
      <c r="L3" s="1" t="s">
        <v>9</v>
      </c>
      <c r="N3" s="1" t="str">
        <f aca="false">Recettes!B1</f>
        <v>Nature</v>
      </c>
      <c r="O3" s="1" t="str">
        <f aca="false">Recettes!C1</f>
        <v>PE</v>
      </c>
      <c r="P3" s="1" t="s">
        <v>10</v>
      </c>
      <c r="Q3" s="1" t="s">
        <v>11</v>
      </c>
      <c r="R3" s="0" t="s">
        <v>12</v>
      </c>
    </row>
    <row r="4" customFormat="false" ht="13.8" hidden="false" customHeight="true" outlineLevel="0" collapsed="false">
      <c r="A4" s="1" t="n">
        <v>1296</v>
      </c>
      <c r="B4" s="1" t="s">
        <v>6</v>
      </c>
      <c r="C4" s="1" t="s">
        <v>13</v>
      </c>
      <c r="D4" s="1" t="s">
        <v>8</v>
      </c>
      <c r="L4" s="1" t="s">
        <v>14</v>
      </c>
      <c r="M4" s="1" t="s">
        <v>15</v>
      </c>
      <c r="N4" s="2" t="n">
        <f aca="false">Recettes!B2</f>
        <v>200</v>
      </c>
      <c r="O4" s="2" t="n">
        <f aca="false">Recettes!C2</f>
        <v>0</v>
      </c>
      <c r="P4" s="1" t="n">
        <f aca="false">Recettes!K2</f>
        <v>0</v>
      </c>
      <c r="Q4" s="1" t="n">
        <f aca="false">Recettes!G2</f>
        <v>0</v>
      </c>
      <c r="R4" s="0" t="n">
        <f aca="false">Recettes!L2</f>
        <v>0</v>
      </c>
    </row>
    <row r="5" customFormat="false" ht="13.8" hidden="false" customHeight="true" outlineLevel="0" collapsed="false">
      <c r="A5" s="1" t="n">
        <v>1296</v>
      </c>
      <c r="B5" s="1" t="s">
        <v>6</v>
      </c>
      <c r="C5" s="1" t="s">
        <v>13</v>
      </c>
      <c r="D5" s="1" t="s">
        <v>8</v>
      </c>
      <c r="L5" s="1" t="s">
        <v>14</v>
      </c>
      <c r="M5" s="1" t="s">
        <v>16</v>
      </c>
      <c r="N5" s="2" t="n">
        <f aca="false">Recettes!B3</f>
        <v>128.127248322148</v>
      </c>
      <c r="O5" s="2" t="n">
        <f aca="false">Recettes!C3</f>
        <v>0</v>
      </c>
      <c r="P5" s="2" t="n">
        <f aca="false">Recettes!K3</f>
        <v>0</v>
      </c>
      <c r="Q5" s="2"/>
      <c r="R5" s="2" t="n">
        <f aca="false">Recettes!L3</f>
        <v>0</v>
      </c>
    </row>
    <row r="6" customFormat="false" ht="13.8" hidden="false" customHeight="true" outlineLevel="0" collapsed="false">
      <c r="A6" s="1" t="n">
        <v>1296</v>
      </c>
      <c r="B6" s="1" t="s">
        <v>6</v>
      </c>
      <c r="C6" s="1" t="s">
        <v>13</v>
      </c>
      <c r="D6" s="1" t="s">
        <v>8</v>
      </c>
      <c r="L6" s="1" t="s">
        <v>17</v>
      </c>
      <c r="M6" s="1" t="s">
        <v>18</v>
      </c>
      <c r="N6" s="2"/>
      <c r="O6" s="2"/>
      <c r="P6" s="2" t="n">
        <f aca="false">Recettes!K4</f>
        <v>0</v>
      </c>
      <c r="Q6" s="1" t="str">
        <f aca="false">"Paton : "&amp;ROUND(Recettes!I4,0)</f>
        <v>Paton : 0</v>
      </c>
      <c r="R6" s="2" t="n">
        <f aca="false">Recettes!L4</f>
        <v>0</v>
      </c>
    </row>
    <row r="7" customFormat="false" ht="13.8" hidden="false" customHeight="true" outlineLevel="0" collapsed="false">
      <c r="A7" s="1" t="n">
        <v>1327</v>
      </c>
      <c r="B7" s="1" t="s">
        <v>6</v>
      </c>
      <c r="C7" s="1" t="s">
        <v>19</v>
      </c>
      <c r="D7" s="1" t="s">
        <v>8</v>
      </c>
      <c r="L7" s="1" t="s">
        <v>17</v>
      </c>
      <c r="M7" s="1" t="s">
        <v>20</v>
      </c>
      <c r="N7" s="2" t="n">
        <f aca="false">Recettes!B5</f>
        <v>5.07382550335571</v>
      </c>
      <c r="O7" s="2"/>
      <c r="P7" s="2" t="n">
        <f aca="false">Recettes!K5</f>
        <v>0</v>
      </c>
      <c r="Q7" s="2" t="str">
        <f aca="false">"Graine : "&amp;Recettes!I5</f>
        <v>Graine : 0</v>
      </c>
      <c r="R7" s="2" t="n">
        <f aca="false">Recettes!L5</f>
        <v>0</v>
      </c>
    </row>
    <row r="8" customFormat="false" ht="13.8" hidden="false" customHeight="true" outlineLevel="0" collapsed="false">
      <c r="A8" s="1" t="n">
        <v>1327</v>
      </c>
      <c r="B8" s="1" t="s">
        <v>6</v>
      </c>
      <c r="C8" s="1" t="s">
        <v>19</v>
      </c>
      <c r="D8" s="1" t="s">
        <v>8</v>
      </c>
      <c r="L8" s="1" t="s">
        <v>17</v>
      </c>
      <c r="M8" s="1" t="s">
        <v>21</v>
      </c>
      <c r="N8" s="3" t="str">
        <f aca="false">"3x"&amp;ROUND(Recettes!B6/3,0)</f>
        <v>3x41</v>
      </c>
      <c r="O8" s="2" t="n">
        <f aca="false">Recettes!C6</f>
        <v>0</v>
      </c>
      <c r="P8" s="2" t="n">
        <f aca="false">Recettes!K6</f>
        <v>0</v>
      </c>
      <c r="Q8" s="2"/>
      <c r="R8" s="2" t="n">
        <f aca="false">Recettes!L6</f>
        <v>0</v>
      </c>
    </row>
    <row r="9" customFormat="false" ht="13.8" hidden="false" customHeight="true" outlineLevel="0" collapsed="false">
      <c r="A9" s="1" t="n">
        <v>1326</v>
      </c>
      <c r="B9" s="1" t="s">
        <v>22</v>
      </c>
      <c r="C9" s="1" t="s">
        <v>23</v>
      </c>
      <c r="D9" s="1" t="s">
        <v>8</v>
      </c>
      <c r="L9" s="1" t="s">
        <v>24</v>
      </c>
      <c r="M9" s="1" t="s">
        <v>25</v>
      </c>
      <c r="N9" s="2" t="n">
        <f aca="false">Recettes!B7</f>
        <v>81.6107382550335</v>
      </c>
      <c r="O9" s="2" t="n">
        <f aca="false">Recettes!C7</f>
        <v>0</v>
      </c>
      <c r="P9" s="2" t="n">
        <f aca="false">Recettes!K7</f>
        <v>0</v>
      </c>
      <c r="Q9" s="2" t="n">
        <f aca="false">Recettes!I7</f>
        <v>0</v>
      </c>
      <c r="R9" s="2" t="n">
        <f aca="false">Recettes!L7</f>
        <v>0</v>
      </c>
    </row>
    <row r="10" customFormat="false" ht="13.8" hidden="false" customHeight="true" outlineLevel="0" collapsed="false">
      <c r="A10" s="1" t="n">
        <v>1326</v>
      </c>
      <c r="B10" s="1" t="s">
        <v>22</v>
      </c>
      <c r="C10" s="1" t="s">
        <v>23</v>
      </c>
      <c r="D10" s="1" t="s">
        <v>8</v>
      </c>
      <c r="L10" s="1" t="s">
        <v>17</v>
      </c>
      <c r="M10" s="1" t="s">
        <v>26</v>
      </c>
      <c r="N10" s="2" t="n">
        <f aca="false">Recettes!B8</f>
        <v>28.1879194630872</v>
      </c>
      <c r="O10" s="4" t="n">
        <f aca="false">Recettes!C8</f>
        <v>0</v>
      </c>
      <c r="P10" s="4" t="n">
        <f aca="false">Recettes!K8</f>
        <v>0</v>
      </c>
      <c r="Q10" s="2"/>
      <c r="R10" s="2" t="n">
        <f aca="false">Recettes!L8</f>
        <v>0</v>
      </c>
    </row>
    <row r="11" customFormat="false" ht="13.8" hidden="false" customHeight="true" outlineLevel="0" collapsed="false">
      <c r="A11" s="1" t="n">
        <v>1326</v>
      </c>
      <c r="B11" s="1" t="s">
        <v>22</v>
      </c>
      <c r="C11" s="1" t="s">
        <v>23</v>
      </c>
      <c r="D11" s="1" t="s">
        <v>8</v>
      </c>
      <c r="L11" s="1" t="s">
        <v>17</v>
      </c>
      <c r="M11" s="1" t="s">
        <v>27</v>
      </c>
      <c r="N11" s="2" t="n">
        <f aca="false">Recettes!B9</f>
        <v>2.25503355704698</v>
      </c>
      <c r="O11" s="2" t="n">
        <f aca="false">Recettes!C9</f>
        <v>0</v>
      </c>
      <c r="P11" s="2" t="n">
        <f aca="false">Recettes!K9</f>
        <v>0</v>
      </c>
      <c r="Q11" s="2"/>
      <c r="R11" s="2" t="n">
        <f aca="false">Recettes!L9</f>
        <v>0</v>
      </c>
    </row>
    <row r="12" customFormat="false" ht="13.8" hidden="false" customHeight="true" outlineLevel="0" collapsed="false">
      <c r="A12" s="1" t="n">
        <v>1318</v>
      </c>
      <c r="B12" s="1" t="s">
        <v>6</v>
      </c>
      <c r="C12" s="1" t="s">
        <v>28</v>
      </c>
      <c r="D12" s="1" t="s">
        <v>8</v>
      </c>
      <c r="L12" s="1" t="s">
        <v>17</v>
      </c>
      <c r="O12" s="5"/>
      <c r="P12" s="2" t="n">
        <f aca="false">Recettes!K10</f>
        <v>0</v>
      </c>
      <c r="Q12" s="1" t="s">
        <v>29</v>
      </c>
      <c r="R12" s="2" t="str">
        <f aca="false">"Graine "&amp;Recettes!L10</f>
        <v>Graine 0</v>
      </c>
    </row>
    <row r="13" customFormat="false" ht="13.8" hidden="false" customHeight="true" outlineLevel="0" collapsed="false">
      <c r="A13" s="1" t="n">
        <v>1324</v>
      </c>
      <c r="B13" s="1" t="s">
        <v>6</v>
      </c>
      <c r="C13" s="1" t="s">
        <v>30</v>
      </c>
      <c r="D13" s="1" t="s">
        <v>8</v>
      </c>
      <c r="L13" s="1" t="s">
        <v>24</v>
      </c>
      <c r="P13" s="2" t="n">
        <f aca="false">Recettes!K11</f>
        <v>0</v>
      </c>
      <c r="Q13" s="1" t="s">
        <v>31</v>
      </c>
    </row>
    <row r="14" customFormat="false" ht="13.8" hidden="false" customHeight="true" outlineLevel="0" collapsed="false">
      <c r="A14" s="1" t="n">
        <v>1324</v>
      </c>
      <c r="B14" s="1" t="s">
        <v>6</v>
      </c>
      <c r="C14" s="1" t="s">
        <v>30</v>
      </c>
      <c r="D14" s="1" t="s">
        <v>8</v>
      </c>
      <c r="L14" s="1" t="s">
        <v>24</v>
      </c>
      <c r="P14" s="2" t="n">
        <f aca="false">Recettes!K12</f>
        <v>0</v>
      </c>
      <c r="Q14" s="1" t="s">
        <v>32</v>
      </c>
    </row>
    <row r="15" customFormat="false" ht="13.8" hidden="false" customHeight="true" outlineLevel="0" collapsed="false">
      <c r="A15" s="1" t="n">
        <v>1328</v>
      </c>
      <c r="B15" s="1" t="s">
        <v>6</v>
      </c>
      <c r="C15" s="1" t="s">
        <v>33</v>
      </c>
      <c r="D15" s="1" t="s">
        <v>8</v>
      </c>
      <c r="L15" s="1" t="s">
        <v>17</v>
      </c>
      <c r="M15" s="1" t="s">
        <v>34</v>
      </c>
      <c r="N15" s="2" t="n">
        <f aca="false">Recettes!B15-Recettes!I4</f>
        <v>240.817890279733</v>
      </c>
      <c r="O15" s="2" t="n">
        <f aca="false">Recettes!C15</f>
        <v>0</v>
      </c>
      <c r="P15" s="2" t="n">
        <f aca="false">Recettes!K15</f>
        <v>0</v>
      </c>
      <c r="Q15" s="2" t="n">
        <f aca="false">Recettes!I4+Recettes!I5+Recettes!I7</f>
        <v>0</v>
      </c>
      <c r="R15" s="2" t="n">
        <f aca="false">Recettes!L13</f>
        <v>0</v>
      </c>
    </row>
    <row r="16" customFormat="false" ht="13.8" hidden="false" customHeight="true" outlineLevel="0" collapsed="false">
      <c r="A16" s="1" t="n">
        <v>1316</v>
      </c>
      <c r="B16" s="1" t="s">
        <v>22</v>
      </c>
      <c r="C16" s="1" t="s">
        <v>35</v>
      </c>
      <c r="D16" s="1" t="s">
        <v>8</v>
      </c>
      <c r="L16" s="1" t="s">
        <v>17</v>
      </c>
      <c r="N16" s="2"/>
    </row>
    <row r="17" customFormat="false" ht="13.8" hidden="false" customHeight="true" outlineLevel="0" collapsed="false">
      <c r="A17" s="1" t="n">
        <v>1316</v>
      </c>
      <c r="B17" s="1" t="s">
        <v>22</v>
      </c>
      <c r="C17" s="1" t="s">
        <v>35</v>
      </c>
      <c r="D17" s="1" t="s">
        <v>8</v>
      </c>
      <c r="L17" s="1" t="s">
        <v>24</v>
      </c>
    </row>
    <row r="18" customFormat="false" ht="13.8" hidden="false" customHeight="true" outlineLevel="0" collapsed="false">
      <c r="A18" s="1" t="n">
        <v>1319</v>
      </c>
      <c r="B18" s="1" t="s">
        <v>22</v>
      </c>
      <c r="C18" s="1" t="s">
        <v>36</v>
      </c>
      <c r="D18" s="1" t="s">
        <v>8</v>
      </c>
      <c r="L18" s="1" t="s">
        <v>17</v>
      </c>
    </row>
    <row r="19" customFormat="false" ht="13.8" hidden="false" customHeight="true" outlineLevel="0" collapsed="false">
      <c r="A19" s="1" t="n">
        <v>1319</v>
      </c>
      <c r="B19" s="1" t="s">
        <v>22</v>
      </c>
      <c r="C19" s="1" t="s">
        <v>36</v>
      </c>
      <c r="D19" s="1" t="s">
        <v>8</v>
      </c>
      <c r="L19" s="1" t="s">
        <v>37</v>
      </c>
    </row>
    <row r="20" customFormat="false" ht="13.8" hidden="false" customHeight="true" outlineLevel="0" collapsed="false">
      <c r="A20" s="1" t="n">
        <v>1325</v>
      </c>
      <c r="B20" s="1" t="s">
        <v>6</v>
      </c>
      <c r="C20" s="1" t="s">
        <v>38</v>
      </c>
      <c r="D20" s="1" t="s">
        <v>8</v>
      </c>
      <c r="L20" s="1" t="s">
        <v>9</v>
      </c>
    </row>
    <row r="21" customFormat="false" ht="13.8" hidden="false" customHeight="true" outlineLevel="0" collapsed="false">
      <c r="A21" s="1" t="n">
        <v>1320</v>
      </c>
      <c r="B21" s="1" t="s">
        <v>6</v>
      </c>
      <c r="C21" s="1" t="s">
        <v>39</v>
      </c>
      <c r="D21" s="1" t="s">
        <v>8</v>
      </c>
      <c r="L21" s="1" t="s">
        <v>24</v>
      </c>
    </row>
    <row r="22" customFormat="false" ht="13.8" hidden="false" customHeight="true" outlineLevel="0" collapsed="false">
      <c r="A22" s="1" t="n">
        <v>1317</v>
      </c>
      <c r="B22" s="1" t="s">
        <v>6</v>
      </c>
      <c r="C22" s="1" t="s">
        <v>40</v>
      </c>
      <c r="D22" s="1" t="s">
        <v>8</v>
      </c>
      <c r="L22" s="1" t="s">
        <v>37</v>
      </c>
    </row>
    <row r="23" customFormat="false" ht="13.8" hidden="false" customHeight="true" outlineLevel="0" collapsed="false">
      <c r="A23" s="1" t="n">
        <v>1317</v>
      </c>
      <c r="B23" s="1" t="s">
        <v>6</v>
      </c>
      <c r="C23" s="1" t="s">
        <v>40</v>
      </c>
      <c r="D23" s="1" t="s">
        <v>8</v>
      </c>
      <c r="L23" s="1" t="s">
        <v>24</v>
      </c>
    </row>
    <row r="24" customFormat="false" ht="13.8" hidden="false" customHeight="true" outlineLevel="0" collapsed="false">
      <c r="A24" s="1" t="n">
        <v>1317</v>
      </c>
      <c r="B24" s="1" t="s">
        <v>6</v>
      </c>
      <c r="C24" s="1" t="s">
        <v>40</v>
      </c>
      <c r="D24" s="1" t="s">
        <v>8</v>
      </c>
      <c r="L24" s="1" t="s">
        <v>17</v>
      </c>
    </row>
    <row r="25" customFormat="false" ht="13.8" hidden="false" customHeight="true" outlineLevel="0" collapsed="false">
      <c r="A25" s="1" t="n">
        <v>1321</v>
      </c>
      <c r="B25" s="1" t="s">
        <v>6</v>
      </c>
      <c r="C25" s="1" t="s">
        <v>41</v>
      </c>
      <c r="D25" s="1" t="s">
        <v>8</v>
      </c>
      <c r="L25" s="1" t="s">
        <v>24</v>
      </c>
    </row>
    <row r="26" customFormat="false" ht="13.8" hidden="false" customHeight="true" outlineLevel="0" collapsed="false">
      <c r="A26" s="1" t="n">
        <v>1322</v>
      </c>
      <c r="B26" s="1" t="s">
        <v>6</v>
      </c>
      <c r="C26" s="1" t="s">
        <v>42</v>
      </c>
      <c r="D26" s="1" t="s">
        <v>8</v>
      </c>
      <c r="L26" s="1" t="s">
        <v>14</v>
      </c>
    </row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33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C3" activeCellId="0" sqref="C3"/>
    </sheetView>
  </sheetViews>
  <sheetFormatPr defaultColWidth="9.06640625" defaultRowHeight="14.4" zeroHeight="false" outlineLevelRow="0" outlineLevelCol="0"/>
  <cols>
    <col collapsed="false" customWidth="true" hidden="false" outlineLevel="0" max="1" min="1" style="1" width="26.73"/>
    <col collapsed="false" customWidth="true" hidden="false" outlineLevel="0" max="2" min="2" style="1" width="17.6"/>
    <col collapsed="false" customWidth="true" hidden="false" outlineLevel="0" max="3" min="3" style="1" width="13.53"/>
    <col collapsed="false" customWidth="true" hidden="false" outlineLevel="0" max="5" min="5" style="1" width="18.37"/>
    <col collapsed="false" customWidth="true" hidden="false" outlineLevel="0" max="6" min="6" style="1" width="5.51"/>
  </cols>
  <sheetData>
    <row r="1" customFormat="false" ht="14.4" hidden="false" customHeight="true" outlineLevel="0" collapsed="false">
      <c r="A1" s="1" t="s">
        <v>0</v>
      </c>
    </row>
    <row r="2" customFormat="false" ht="14.4" hidden="false" customHeight="true" outlineLevel="0" collapsed="false">
      <c r="A2" s="1" t="s">
        <v>43</v>
      </c>
      <c r="B2" s="1" t="s">
        <v>44</v>
      </c>
      <c r="C2" s="1" t="s">
        <v>45</v>
      </c>
      <c r="D2" s="1" t="s">
        <v>34</v>
      </c>
    </row>
    <row r="3" customFormat="false" ht="13.8" hidden="false" customHeight="true" outlineLevel="0" collapsed="false">
      <c r="A3" s="1" t="s">
        <v>46</v>
      </c>
      <c r="B3" s="1" t="s">
        <v>47</v>
      </c>
      <c r="D3" s="1" t="n">
        <f aca="false">C3*0.6</f>
        <v>0</v>
      </c>
    </row>
    <row r="4" customFormat="false" ht="13.8" hidden="false" customHeight="true" outlineLevel="0" collapsed="false">
      <c r="A4" s="1" t="s">
        <v>46</v>
      </c>
      <c r="B4" s="1" t="s">
        <v>48</v>
      </c>
      <c r="D4" s="1" t="n">
        <f aca="false">C4*1</f>
        <v>0</v>
      </c>
    </row>
    <row r="5" customFormat="false" ht="13.8" hidden="false" customHeight="true" outlineLevel="0" collapsed="false">
      <c r="A5" s="1" t="s">
        <v>46</v>
      </c>
      <c r="B5" s="1" t="s">
        <v>49</v>
      </c>
      <c r="D5" s="1" t="n">
        <f aca="false">C5*1.5</f>
        <v>0</v>
      </c>
    </row>
    <row r="6" customFormat="false" ht="13.8" hidden="false" customHeight="true" outlineLevel="0" collapsed="false">
      <c r="A6" s="1" t="s">
        <v>50</v>
      </c>
      <c r="B6" s="1" t="s">
        <v>47</v>
      </c>
      <c r="D6" s="1" t="n">
        <f aca="false">C6*0.6</f>
        <v>0</v>
      </c>
    </row>
    <row r="7" customFormat="false" ht="13.8" hidden="false" customHeight="true" outlineLevel="0" collapsed="false">
      <c r="A7" s="1" t="s">
        <v>50</v>
      </c>
      <c r="B7" s="1" t="s">
        <v>51</v>
      </c>
      <c r="D7" s="1" t="n">
        <f aca="false">C7*0.8</f>
        <v>0</v>
      </c>
    </row>
    <row r="8" customFormat="false" ht="13.8" hidden="false" customHeight="true" outlineLevel="0" collapsed="false">
      <c r="A8" s="1" t="s">
        <v>50</v>
      </c>
      <c r="B8" s="1" t="s">
        <v>48</v>
      </c>
      <c r="D8" s="1" t="n">
        <f aca="false">C8*1</f>
        <v>0</v>
      </c>
    </row>
    <row r="9" customFormat="false" ht="13.8" hidden="false" customHeight="true" outlineLevel="0" collapsed="false">
      <c r="A9" s="1" t="s">
        <v>52</v>
      </c>
      <c r="B9" s="1" t="s">
        <v>53</v>
      </c>
      <c r="D9" s="1" t="n">
        <f aca="false">C9*0.65</f>
        <v>0</v>
      </c>
    </row>
    <row r="10" customFormat="false" ht="13.8" hidden="false" customHeight="true" outlineLevel="0" collapsed="false">
      <c r="A10" s="1" t="s">
        <v>52</v>
      </c>
      <c r="B10" s="1" t="s">
        <v>54</v>
      </c>
      <c r="D10" s="1" t="n">
        <f aca="false">C10*0.85</f>
        <v>0</v>
      </c>
    </row>
    <row r="11" customFormat="false" ht="13.8" hidden="false" customHeight="true" outlineLevel="0" collapsed="false">
      <c r="A11" s="1" t="s">
        <v>55</v>
      </c>
      <c r="B11" s="1" t="s">
        <v>53</v>
      </c>
      <c r="D11" s="1" t="n">
        <f aca="false">C11*0.65</f>
        <v>0</v>
      </c>
    </row>
    <row r="12" customFormat="false" ht="13.8" hidden="false" customHeight="true" outlineLevel="0" collapsed="false">
      <c r="A12" s="1" t="s">
        <v>56</v>
      </c>
      <c r="B12" s="1" t="s">
        <v>57</v>
      </c>
      <c r="D12" s="1" t="n">
        <f aca="false">C12*0.5</f>
        <v>0</v>
      </c>
    </row>
    <row r="13" customFormat="false" ht="13.8" hidden="false" customHeight="true" outlineLevel="0" collapsed="false">
      <c r="A13" s="1" t="s">
        <v>56</v>
      </c>
      <c r="B13" s="1" t="s">
        <v>48</v>
      </c>
      <c r="D13" s="1" t="n">
        <f aca="false">C13*1</f>
        <v>0</v>
      </c>
    </row>
    <row r="14" customFormat="false" ht="13.8" hidden="false" customHeight="true" outlineLevel="0" collapsed="false">
      <c r="A14" s="1" t="s">
        <v>56</v>
      </c>
      <c r="B14" s="1" t="s">
        <v>49</v>
      </c>
      <c r="D14" s="1" t="n">
        <f aca="false">C14*1.5</f>
        <v>0</v>
      </c>
    </row>
    <row r="15" customFormat="false" ht="13.8" hidden="false" customHeight="true" outlineLevel="0" collapsed="false">
      <c r="A15" s="1" t="s">
        <v>58</v>
      </c>
      <c r="B15" s="1" t="s">
        <v>59</v>
      </c>
      <c r="D15" s="1" t="n">
        <f aca="false">C15*0.3</f>
        <v>0</v>
      </c>
    </row>
    <row r="16" customFormat="false" ht="13.8" hidden="false" customHeight="true" outlineLevel="0" collapsed="false">
      <c r="A16" s="1" t="s">
        <v>58</v>
      </c>
      <c r="B16" s="1" t="s">
        <v>47</v>
      </c>
      <c r="D16" s="1" t="n">
        <f aca="false">C16*0.6</f>
        <v>0</v>
      </c>
    </row>
    <row r="17" customFormat="false" ht="14.4" hidden="false" customHeight="true" outlineLevel="0" collapsed="false">
      <c r="A17" s="1" t="s">
        <v>58</v>
      </c>
      <c r="B17" s="1" t="s">
        <v>48</v>
      </c>
      <c r="D17" s="1" t="n">
        <f aca="false">C17*1</f>
        <v>0</v>
      </c>
    </row>
    <row r="18" customFormat="false" ht="13.8" hidden="false" customHeight="true" outlineLevel="0" collapsed="false">
      <c r="A18" s="1" t="s">
        <v>58</v>
      </c>
      <c r="B18" s="1" t="s">
        <v>60</v>
      </c>
      <c r="D18" s="1" t="n">
        <f aca="false">C18*1</f>
        <v>0</v>
      </c>
    </row>
    <row r="19" customFormat="false" ht="13.8" hidden="false" customHeight="true" outlineLevel="0" collapsed="false">
      <c r="A19" s="1" t="s">
        <v>61</v>
      </c>
      <c r="B19" s="1" t="s">
        <v>62</v>
      </c>
      <c r="D19" s="0" t="n">
        <f aca="false">C19*0.125</f>
        <v>0</v>
      </c>
    </row>
    <row r="20" customFormat="false" ht="13.8" hidden="false" customHeight="true" outlineLevel="0" collapsed="false">
      <c r="A20" s="1" t="s">
        <v>12</v>
      </c>
      <c r="B20" s="1" t="s">
        <v>51</v>
      </c>
      <c r="D20" s="0" t="n">
        <f aca="false">C20*0.8</f>
        <v>0</v>
      </c>
    </row>
    <row r="21" customFormat="false" ht="13.8" hidden="false" customHeight="true" outlineLevel="0" collapsed="false"/>
    <row r="22" customFormat="false" ht="13.8" hidden="false" customHeight="true" outlineLevel="0" collapsed="false"/>
    <row r="23" customFormat="false" ht="13.8" hidden="false" customHeight="true" outlineLevel="0" collapsed="false"/>
    <row r="24" customFormat="false" ht="13.8" hidden="false" customHeight="true" outlineLevel="0" collapsed="false"/>
    <row r="25" customFormat="false" ht="13.8" hidden="false" customHeight="true" outlineLevel="0" collapsed="false"/>
    <row r="26" customFormat="false" ht="13.8" hidden="false" customHeight="true" outlineLevel="0" collapsed="false"/>
    <row r="27" customFormat="false" ht="13.8" hidden="false" customHeight="true" outlineLevel="0" collapsed="false"/>
    <row r="28" customFormat="false" ht="13.8" hidden="false" customHeight="true" outlineLevel="0" collapsed="false"/>
    <row r="29" customFormat="false" ht="13.8" hidden="false" customHeight="true" outlineLevel="0" collapsed="false"/>
    <row r="30" customFormat="false" ht="13.8" hidden="false" customHeight="true" outlineLevel="0" collapsed="false"/>
    <row r="31" customFormat="false" ht="13.8" hidden="false" customHeight="true" outlineLevel="0" collapsed="false"/>
    <row r="32" customFormat="false" ht="13.8" hidden="false" customHeight="true" outlineLevel="0" collapsed="false"/>
    <row r="33" customFormat="false" ht="13.8" hidden="false" customHeight="true" outlineLevel="0" collapsed="false"/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67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L3" activeCellId="0" sqref="L3"/>
    </sheetView>
  </sheetViews>
  <sheetFormatPr defaultColWidth="9.06640625" defaultRowHeight="14.4" zeroHeight="false" outlineLevelRow="0" outlineLevelCol="0"/>
  <cols>
    <col collapsed="false" customWidth="true" hidden="false" outlineLevel="0" max="9" min="9" style="0" width="11.94"/>
    <col collapsed="false" customWidth="true" hidden="false" outlineLevel="0" max="15" min="15" style="1" width="10.63"/>
  </cols>
  <sheetData>
    <row r="1" customFormat="false" ht="14.4" hidden="false" customHeight="true" outlineLevel="0" collapsed="false">
      <c r="B1" s="1" t="s">
        <v>63</v>
      </c>
      <c r="C1" s="1" t="s">
        <v>64</v>
      </c>
      <c r="D1" s="1" t="s">
        <v>11</v>
      </c>
      <c r="E1" s="1" t="s">
        <v>65</v>
      </c>
      <c r="F1" s="1" t="s">
        <v>66</v>
      </c>
      <c r="G1" s="1" t="s">
        <v>67</v>
      </c>
      <c r="H1" s="1" t="s">
        <v>68</v>
      </c>
      <c r="I1" s="1" t="s">
        <v>69</v>
      </c>
      <c r="K1" s="1" t="s">
        <v>70</v>
      </c>
      <c r="L1" s="0" t="s">
        <v>12</v>
      </c>
    </row>
    <row r="2" customFormat="false" ht="14.4" hidden="false" customHeight="true" outlineLevel="0" collapsed="false">
      <c r="A2" s="1" t="s">
        <v>15</v>
      </c>
      <c r="B2" s="1" t="n">
        <f aca="false">SUM(cp_recap!D3:D8)*1000+200+(I2-I5)</f>
        <v>200</v>
      </c>
      <c r="C2" s="1" t="n">
        <f aca="false">SUM(cp_recap!D15:D18)*1000</f>
        <v>0</v>
      </c>
      <c r="E2" s="1" t="n">
        <f aca="false">SUM(cp_recap!D12:D13)*1000</f>
        <v>0</v>
      </c>
      <c r="F2" s="1" t="n">
        <v>1000</v>
      </c>
      <c r="G2" s="1" t="n">
        <f aca="false">SUM(cp_recap!D9:D11)*1000</f>
        <v>0</v>
      </c>
      <c r="H2" s="1" t="n">
        <f aca="false">G2+B2</f>
        <v>200</v>
      </c>
      <c r="I2" s="1" t="n">
        <f aca="false">SUM(cp_recap!D9:D11)*1000</f>
        <v>0</v>
      </c>
      <c r="K2" s="1" t="n">
        <f aca="false">(SUM(cp_recap!D12:D14)+cp_recap!D19)*1000</f>
        <v>0</v>
      </c>
      <c r="L2" s="0" t="n">
        <f aca="false">cp_recap!D20*1000</f>
        <v>0</v>
      </c>
    </row>
    <row r="3" customFormat="false" ht="14.4" hidden="false" customHeight="true" outlineLevel="0" collapsed="false">
      <c r="A3" s="1" t="s">
        <v>16</v>
      </c>
      <c r="B3" s="2" t="n">
        <f aca="false">$B$2/D$19*D$20</f>
        <v>128.127248322148</v>
      </c>
      <c r="C3" s="2" t="n">
        <f aca="false">$C2/I$19*I$20</f>
        <v>0</v>
      </c>
      <c r="D3" s="2" t="n">
        <f aca="false">$D2/J$19*J$20</f>
        <v>0</v>
      </c>
      <c r="E3" s="2" t="n">
        <f aca="false">$E2/M$19*M$20</f>
        <v>0</v>
      </c>
      <c r="F3" s="2" t="n">
        <f aca="false">$F2/N$19*N$20</f>
        <v>640</v>
      </c>
      <c r="G3" s="2" t="n">
        <f aca="false">$G2/L$19*L$20</f>
        <v>0</v>
      </c>
      <c r="H3" s="2" t="n">
        <f aca="false">H5+H6</f>
        <v>128.127248322148</v>
      </c>
      <c r="K3" s="2" t="n">
        <f aca="false">K2/O19*O20</f>
        <v>0</v>
      </c>
      <c r="L3" s="2" t="n">
        <f aca="false">L2/P19*P20</f>
        <v>0</v>
      </c>
    </row>
    <row r="4" customFormat="false" ht="14.4" hidden="false" customHeight="true" outlineLevel="0" collapsed="false">
      <c r="A4" s="1" t="s">
        <v>71</v>
      </c>
      <c r="I4" s="2" t="n">
        <f aca="false">660*I2/650</f>
        <v>0</v>
      </c>
      <c r="J4" s="1" t="s">
        <v>72</v>
      </c>
      <c r="L4" s="2" t="n">
        <f aca="false">$L$2/$P$19*P21</f>
        <v>0</v>
      </c>
    </row>
    <row r="5" customFormat="false" ht="14.4" hidden="false" customHeight="true" outlineLevel="0" collapsed="false">
      <c r="A5" s="1" t="s">
        <v>73</v>
      </c>
      <c r="B5" s="2" t="n">
        <f aca="false">$B$2/$D$19*D22</f>
        <v>5.07382550335571</v>
      </c>
      <c r="C5" s="2" t="n">
        <f aca="false">$C4/I$19*I$20</f>
        <v>0</v>
      </c>
      <c r="D5" s="2" t="n">
        <f aca="false">$D4/J$19*J$20</f>
        <v>0</v>
      </c>
      <c r="G5" s="2" t="n">
        <f aca="false">$G2/L$19*L$22</f>
        <v>0</v>
      </c>
      <c r="H5" s="2" t="n">
        <f aca="false">G5+B5</f>
        <v>5.07382550335571</v>
      </c>
      <c r="I5" s="1" t="n">
        <f aca="false">0.1*I2</f>
        <v>0</v>
      </c>
      <c r="J5" s="1" t="s">
        <v>74</v>
      </c>
      <c r="L5" s="2" t="n">
        <f aca="false">$L$2/$P$19*P22</f>
        <v>0</v>
      </c>
    </row>
    <row r="6" customFormat="false" ht="14.4" hidden="false" customHeight="true" outlineLevel="0" collapsed="false">
      <c r="A6" s="1" t="s">
        <v>75</v>
      </c>
      <c r="B6" s="2" t="n">
        <f aca="false">$B$2/$D$19*D23</f>
        <v>123.053422818792</v>
      </c>
      <c r="C6" s="2" t="n">
        <f aca="false">$C$2/I$19*I$23</f>
        <v>0</v>
      </c>
      <c r="D6" s="2" t="n">
        <f aca="false">D$2/J$19*J$23</f>
        <v>0</v>
      </c>
      <c r="E6" s="2" t="n">
        <f aca="false">E$2/M$19*M$23</f>
        <v>0</v>
      </c>
      <c r="F6" s="2" t="n">
        <f aca="false">F$2/N$19*N$23</f>
        <v>640</v>
      </c>
      <c r="G6" s="2" t="n">
        <f aca="false">G$2/L$19*L$23</f>
        <v>0</v>
      </c>
      <c r="H6" s="2" t="n">
        <f aca="false">G6+B6</f>
        <v>123.053422818792</v>
      </c>
      <c r="K6" s="2" t="n">
        <f aca="false">$K$2/$O$19*O23</f>
        <v>0</v>
      </c>
      <c r="L6" s="2" t="n">
        <f aca="false">$L$2/$P$19*P23</f>
        <v>0</v>
      </c>
    </row>
    <row r="7" customFormat="false" ht="14.4" hidden="false" customHeight="true" outlineLevel="0" collapsed="false">
      <c r="A7" s="1" t="s">
        <v>25</v>
      </c>
      <c r="B7" s="2" t="n">
        <f aca="false">$B$2/$D$19*D24</f>
        <v>81.6107382550335</v>
      </c>
      <c r="C7" s="2" t="n">
        <f aca="false">$C$2/I$19*I$24</f>
        <v>0</v>
      </c>
      <c r="D7" s="2" t="n">
        <f aca="false">D$2/J$19*J$24</f>
        <v>0</v>
      </c>
      <c r="E7" s="2" t="n">
        <f aca="false">E$2/M$19*M$24</f>
        <v>0</v>
      </c>
      <c r="F7" s="2" t="n">
        <f aca="false">F$2/N$19*N$24</f>
        <v>352</v>
      </c>
      <c r="G7" s="2" t="n">
        <f aca="false">G$2/L$19*L$24</f>
        <v>0</v>
      </c>
      <c r="H7" s="2" t="n">
        <f aca="false">B7+G7-I7</f>
        <v>81.6107382550335</v>
      </c>
      <c r="I7" s="2" t="n">
        <f aca="false">15*I2/650+0.007*I4</f>
        <v>0</v>
      </c>
      <c r="J7" s="1" t="s">
        <v>25</v>
      </c>
      <c r="K7" s="2" t="n">
        <f aca="false">$K$2/$O$19*O24</f>
        <v>0</v>
      </c>
      <c r="L7" s="2" t="n">
        <f aca="false">$L$2/$P$19*P24</f>
        <v>0</v>
      </c>
    </row>
    <row r="8" customFormat="false" ht="14.4" hidden="false" customHeight="true" outlineLevel="0" collapsed="false">
      <c r="A8" s="1" t="s">
        <v>26</v>
      </c>
      <c r="B8" s="2" t="n">
        <f aca="false">$B$2/$D$19*D25</f>
        <v>28.1879194630872</v>
      </c>
      <c r="C8" s="4" t="n">
        <f aca="false">$C$2/I$19*I25</f>
        <v>0</v>
      </c>
      <c r="D8" s="4" t="n">
        <f aca="false">D$2/J$19*J25</f>
        <v>0</v>
      </c>
      <c r="E8" s="4" t="n">
        <f aca="false">E$2/M$19*M25</f>
        <v>0</v>
      </c>
      <c r="F8" s="2" t="n">
        <f aca="false">F$2/N$19*N25</f>
        <v>8</v>
      </c>
      <c r="G8" s="4" t="n">
        <f aca="false">G$2/L$19*L25</f>
        <v>0</v>
      </c>
      <c r="H8" s="2" t="n">
        <f aca="false">G8+B8</f>
        <v>28.1879194630872</v>
      </c>
      <c r="K8" s="4" t="n">
        <f aca="false">$K$2/$O$19*O25</f>
        <v>0</v>
      </c>
      <c r="L8" s="2" t="n">
        <f aca="false">$L$2/$P$19*P25</f>
        <v>0</v>
      </c>
    </row>
    <row r="9" customFormat="false" ht="14.4" hidden="false" customHeight="true" outlineLevel="0" collapsed="false">
      <c r="A9" s="1" t="s">
        <v>27</v>
      </c>
      <c r="B9" s="4" t="n">
        <f aca="false">$B$2/$D$19*D26</f>
        <v>2.25503355704698</v>
      </c>
      <c r="C9" s="4" t="n">
        <f aca="false">$C$2/I$19*I26</f>
        <v>0</v>
      </c>
      <c r="D9" s="4" t="n">
        <f aca="false">D$2/J$19*J26</f>
        <v>0</v>
      </c>
      <c r="E9" s="2" t="n">
        <f aca="false">E$2/M$19*M26</f>
        <v>0</v>
      </c>
      <c r="F9" s="2" t="n">
        <f aca="false">F$2/N$19*N26</f>
        <v>9.6</v>
      </c>
      <c r="G9" s="4" t="n">
        <f aca="false">G$2/L$19*L26</f>
        <v>0</v>
      </c>
      <c r="H9" s="2" t="n">
        <f aca="false">G9+B9</f>
        <v>2.25503355704698</v>
      </c>
      <c r="K9" s="2" t="n">
        <f aca="false">$K$2/$O$19*O26</f>
        <v>0</v>
      </c>
      <c r="L9" s="2" t="n">
        <f aca="false">$L$2/$P$19*P26</f>
        <v>0</v>
      </c>
    </row>
    <row r="10" customFormat="false" ht="14.4" hidden="false" customHeight="true" outlineLevel="0" collapsed="false">
      <c r="B10" s="2"/>
      <c r="C10" s="5" t="s">
        <v>74</v>
      </c>
      <c r="D10" s="2" t="n">
        <f aca="false">D$2/J$19*J27</f>
        <v>0</v>
      </c>
      <c r="E10" s="2"/>
      <c r="F10" s="2"/>
      <c r="G10" s="2" t="n">
        <f aca="false">G$2/L$19*L27</f>
        <v>0</v>
      </c>
      <c r="H10" s="1" t="s">
        <v>74</v>
      </c>
      <c r="I10" s="2"/>
      <c r="J10" s="1" t="s">
        <v>29</v>
      </c>
      <c r="K10" s="2" t="n">
        <f aca="false">$K$2/$O$19*O28</f>
        <v>0</v>
      </c>
      <c r="L10" s="2" t="n">
        <f aca="false">$L$2/$P$19*P27</f>
        <v>0</v>
      </c>
      <c r="M10" s="0" t="s">
        <v>74</v>
      </c>
    </row>
    <row r="11" customFormat="false" ht="14.4" hidden="false" customHeight="true" outlineLevel="0" collapsed="false">
      <c r="A11" s="1" t="s">
        <v>76</v>
      </c>
      <c r="B11" s="6" t="n">
        <f aca="false">(B7)/(B5+B6)</f>
        <v>0.636950682417228</v>
      </c>
      <c r="D11" s="5" t="s">
        <v>77</v>
      </c>
      <c r="E11" s="2" t="n">
        <f aca="false">E$2/M$19*M28</f>
        <v>0</v>
      </c>
      <c r="F11" s="2"/>
      <c r="I11" s="1" t="n">
        <f aca="false">(B7+B8/2+I7)/(B5+B6+B8/2)</f>
        <v>0.672928456285133</v>
      </c>
      <c r="J11" s="1" t="s">
        <v>31</v>
      </c>
      <c r="K11" s="2" t="n">
        <f aca="false">$K$2/$O$19*O30</f>
        <v>0</v>
      </c>
    </row>
    <row r="12" customFormat="false" ht="14.4" hidden="false" customHeight="true" outlineLevel="0" collapsed="false">
      <c r="D12" s="5" t="s">
        <v>78</v>
      </c>
      <c r="E12" s="2" t="n">
        <f aca="false">E$2/M$19*M29</f>
        <v>0</v>
      </c>
      <c r="F12" s="2"/>
      <c r="J12" s="1" t="s">
        <v>32</v>
      </c>
      <c r="K12" s="2" t="n">
        <f aca="false">$K$2/$O$19*O31</f>
        <v>0</v>
      </c>
    </row>
    <row r="13" customFormat="false" ht="14.4" hidden="false" customHeight="true" outlineLevel="0" collapsed="false">
      <c r="D13" s="5" t="s">
        <v>31</v>
      </c>
      <c r="E13" s="2" t="n">
        <f aca="false">E$2/M$19*M30</f>
        <v>0</v>
      </c>
      <c r="F13" s="2" t="n">
        <f aca="false">F$2/N$19*N30</f>
        <v>20.533333333333</v>
      </c>
    </row>
    <row r="14" customFormat="false" ht="14.4" hidden="false" customHeight="true" outlineLevel="0" collapsed="false">
      <c r="D14" s="5" t="s">
        <v>79</v>
      </c>
      <c r="E14" s="2" t="n">
        <f aca="false">E$2/M$19*M31</f>
        <v>0</v>
      </c>
      <c r="F14" s="2"/>
    </row>
    <row r="15" customFormat="false" ht="14.4" hidden="false" customHeight="true" outlineLevel="0" collapsed="false">
      <c r="A15" s="1" t="s">
        <v>80</v>
      </c>
      <c r="B15" s="2" t="n">
        <f aca="false">SUM(B5:B14)</f>
        <v>240.817890279733</v>
      </c>
      <c r="C15" s="2" t="n">
        <f aca="false">SUM(C5:C14)</f>
        <v>0</v>
      </c>
      <c r="D15" s="2" t="n">
        <f aca="false">SUM(D5:D14)</f>
        <v>0</v>
      </c>
      <c r="E15" s="2" t="n">
        <f aca="false">SUM(E5:E14)</f>
        <v>0</v>
      </c>
      <c r="F15" s="2" t="n">
        <f aca="false">SUM(F5:F14)</f>
        <v>1030.1333333333</v>
      </c>
      <c r="G15" s="2" t="n">
        <f aca="false">SUM(G5:G14)</f>
        <v>0</v>
      </c>
      <c r="H15" s="7"/>
      <c r="I15" s="2" t="n">
        <f aca="false">SUM(I4:I7)</f>
        <v>0</v>
      </c>
      <c r="K15" s="2" t="n">
        <f aca="false">SUM(K5:K14)</f>
        <v>0</v>
      </c>
      <c r="L15" s="2" t="n">
        <f aca="false">SUM(L4:L14)</f>
        <v>0</v>
      </c>
      <c r="M15" s="8" t="s">
        <v>81</v>
      </c>
    </row>
    <row r="16" customFormat="false" ht="14.4" hidden="false" customHeight="true" outlineLevel="0" collapsed="false">
      <c r="A16" s="1" t="s">
        <v>82</v>
      </c>
      <c r="B16" s="2" t="n">
        <f aca="false">B6*0.5</f>
        <v>61.526711409396</v>
      </c>
      <c r="H16" s="2" t="n">
        <f aca="false">H6*0.5</f>
        <v>61.526711409396</v>
      </c>
    </row>
    <row r="17" customFormat="false" ht="14.4" hidden="false" customHeight="true" outlineLevel="0" collapsed="false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customFormat="false" ht="14.4" hidden="false" customHeight="true" outlineLevel="0" collapsed="false">
      <c r="A18" s="1" t="s">
        <v>83</v>
      </c>
      <c r="C18" s="1" t="s">
        <v>84</v>
      </c>
      <c r="D18" s="9" t="s">
        <v>85</v>
      </c>
      <c r="E18" s="1" t="s">
        <v>86</v>
      </c>
      <c r="G18" s="1" t="s">
        <v>87</v>
      </c>
      <c r="H18" s="1" t="s">
        <v>88</v>
      </c>
      <c r="I18" s="9" t="s">
        <v>89</v>
      </c>
      <c r="J18" s="9" t="s">
        <v>90</v>
      </c>
      <c r="K18" s="1" t="s">
        <v>91</v>
      </c>
      <c r="L18" s="9" t="s">
        <v>92</v>
      </c>
      <c r="M18" s="1" t="s">
        <v>93</v>
      </c>
      <c r="N18" s="1" t="s">
        <v>94</v>
      </c>
      <c r="O18" s="1" t="s">
        <v>70</v>
      </c>
      <c r="P18" s="0" t="s">
        <v>12</v>
      </c>
    </row>
    <row r="19" customFormat="false" ht="14.4" hidden="false" customHeight="true" outlineLevel="0" collapsed="false">
      <c r="A19" s="1" t="s">
        <v>95</v>
      </c>
      <c r="B19" s="1" t="n">
        <v>2090</v>
      </c>
      <c r="C19" s="2" t="n">
        <f aca="false">2090+238</f>
        <v>2328</v>
      </c>
      <c r="D19" s="9" t="n">
        <v>7450</v>
      </c>
      <c r="E19" s="2" t="n">
        <f aca="false">1000/0.64</f>
        <v>1562.5</v>
      </c>
      <c r="F19" s="2"/>
      <c r="G19" s="2" t="n">
        <f aca="false">1000/0.64</f>
        <v>1562.5</v>
      </c>
      <c r="H19" s="2" t="n">
        <f aca="false">1000/0.64</f>
        <v>1562.5</v>
      </c>
      <c r="I19" s="9" t="n">
        <v>1925</v>
      </c>
      <c r="J19" s="10" t="n">
        <v>2090</v>
      </c>
      <c r="K19" s="2" t="n">
        <v>1700</v>
      </c>
      <c r="L19" s="10" t="n">
        <f aca="false">2090+238+40</f>
        <v>2368</v>
      </c>
      <c r="M19" s="2" t="n">
        <v>1533</v>
      </c>
      <c r="N19" s="1" t="n">
        <f aca="false">15*250</f>
        <v>3750</v>
      </c>
      <c r="O19" s="2" t="n">
        <f aca="false">470*2+14+30</f>
        <v>984</v>
      </c>
      <c r="P19" s="0" t="n">
        <v>760</v>
      </c>
    </row>
    <row r="20" customFormat="false" ht="14.4" hidden="false" customHeight="true" outlineLevel="0" collapsed="false">
      <c r="A20" s="1" t="s">
        <v>16</v>
      </c>
      <c r="B20" s="2" t="n">
        <f aca="false">$B$19/$C$19*C20</f>
        <v>1194.029209622</v>
      </c>
      <c r="C20" s="2" t="n">
        <v>1330</v>
      </c>
      <c r="D20" s="10" t="n">
        <f aca="false">D22+D23</f>
        <v>4772.74</v>
      </c>
      <c r="E20" s="2" t="n">
        <f aca="false">E22+E23</f>
        <v>1000</v>
      </c>
      <c r="F20" s="2"/>
      <c r="G20" s="2" t="n">
        <f aca="false">G22+G23</f>
        <v>1000</v>
      </c>
      <c r="H20" s="2" t="n">
        <f aca="false">H22+H23</f>
        <v>1000</v>
      </c>
      <c r="I20" s="10" t="n">
        <f aca="false">I22+I23</f>
        <v>1335</v>
      </c>
      <c r="J20" s="10" t="n">
        <v>1260</v>
      </c>
      <c r="K20" s="2" t="n">
        <v>1260</v>
      </c>
      <c r="L20" s="10" t="n">
        <v>1330</v>
      </c>
      <c r="M20" s="2" t="n">
        <v>1000</v>
      </c>
      <c r="N20" s="1" t="n">
        <v>2400</v>
      </c>
      <c r="O20" s="1" t="n">
        <f aca="false">O23</f>
        <v>646</v>
      </c>
      <c r="P20" s="0" t="n">
        <f aca="false">SUM(P21:P23)</f>
        <v>363</v>
      </c>
    </row>
    <row r="21" customFormat="false" ht="14.4" hidden="false" customHeight="true" outlineLevel="0" collapsed="false">
      <c r="A21" s="0" t="s">
        <v>18</v>
      </c>
      <c r="B21" s="2"/>
      <c r="C21" s="2"/>
      <c r="D21" s="10"/>
      <c r="E21" s="2"/>
      <c r="F21" s="2"/>
      <c r="G21" s="2"/>
      <c r="H21" s="2"/>
      <c r="I21" s="10"/>
      <c r="J21" s="11"/>
      <c r="K21" s="12"/>
      <c r="L21" s="11"/>
      <c r="M21" s="2"/>
      <c r="N21" s="2"/>
      <c r="P21" s="0" t="n">
        <v>110</v>
      </c>
      <c r="Q21" s="0" t="s">
        <v>18</v>
      </c>
      <c r="W21" s="1" t="s">
        <v>96</v>
      </c>
    </row>
    <row r="22" customFormat="false" ht="14.4" hidden="false" customHeight="true" outlineLevel="0" collapsed="false">
      <c r="A22" s="1" t="s">
        <v>73</v>
      </c>
      <c r="B22" s="2" t="n">
        <f aca="false">$B$19/$C$19*C22</f>
        <v>42.195017182131</v>
      </c>
      <c r="C22" s="2" t="n">
        <v>47</v>
      </c>
      <c r="D22" s="10" t="n">
        <f aca="false">167+22</f>
        <v>189</v>
      </c>
      <c r="E22" s="2" t="n">
        <v>20</v>
      </c>
      <c r="F22" s="2"/>
      <c r="G22" s="2" t="n">
        <v>20</v>
      </c>
      <c r="H22" s="2" t="n">
        <v>20</v>
      </c>
      <c r="I22" s="10"/>
      <c r="J22" s="10"/>
      <c r="K22" s="2" t="n">
        <v>184</v>
      </c>
      <c r="L22" s="10" t="n">
        <v>47</v>
      </c>
      <c r="M22" s="2"/>
      <c r="N22" s="2"/>
      <c r="P22" s="0" t="n">
        <v>110</v>
      </c>
      <c r="W22" s="1" t="s">
        <v>97</v>
      </c>
    </row>
    <row r="23" customFormat="false" ht="14.4" hidden="false" customHeight="true" outlineLevel="0" collapsed="false">
      <c r="A23" s="1" t="s">
        <v>75</v>
      </c>
      <c r="B23" s="2" t="n">
        <f aca="false">$B$19/$C$19*C23</f>
        <v>1150.9364261168</v>
      </c>
      <c r="C23" s="2" t="n">
        <v>1282</v>
      </c>
      <c r="D23" s="10" t="n">
        <f aca="false">4516*1.015</f>
        <v>4583.74</v>
      </c>
      <c r="E23" s="2" t="n">
        <v>980</v>
      </c>
      <c r="F23" s="2"/>
      <c r="G23" s="2" t="n">
        <v>980</v>
      </c>
      <c r="H23" s="2" t="n">
        <v>980</v>
      </c>
      <c r="I23" s="10" t="n">
        <v>1335</v>
      </c>
      <c r="J23" s="10" t="n">
        <v>1260</v>
      </c>
      <c r="K23" s="2" t="n">
        <v>1077</v>
      </c>
      <c r="L23" s="10" t="n">
        <v>1282</v>
      </c>
      <c r="M23" s="2" t="n">
        <v>1000</v>
      </c>
      <c r="N23" s="1" t="n">
        <v>2400</v>
      </c>
      <c r="O23" s="1" t="n">
        <v>646</v>
      </c>
      <c r="P23" s="0" t="n">
        <v>143</v>
      </c>
    </row>
    <row r="24" customFormat="false" ht="14.4" hidden="false" customHeight="true" outlineLevel="0" collapsed="false">
      <c r="A24" s="1" t="s">
        <v>25</v>
      </c>
      <c r="B24" s="2" t="n">
        <f aca="false">$B$19/$C$19*C24</f>
        <v>861.85567010309</v>
      </c>
      <c r="C24" s="2" t="n">
        <f aca="false">863+97</f>
        <v>960</v>
      </c>
      <c r="D24" s="10" t="n">
        <v>3040</v>
      </c>
      <c r="E24" s="2" t="n">
        <v>573</v>
      </c>
      <c r="F24" s="2"/>
      <c r="G24" s="2" t="n">
        <v>650</v>
      </c>
      <c r="H24" s="2" t="n">
        <v>610</v>
      </c>
      <c r="I24" s="10" t="n">
        <f aca="false">865*1.05</f>
        <v>908.25</v>
      </c>
      <c r="J24" s="10" t="n">
        <f aca="false">817*1+3*25</f>
        <v>892</v>
      </c>
      <c r="K24" s="2" t="n">
        <f aca="false">817*1</f>
        <v>817</v>
      </c>
      <c r="L24" s="10" t="n">
        <v>960</v>
      </c>
      <c r="M24" s="2" t="n">
        <v>520</v>
      </c>
      <c r="N24" s="1" t="n">
        <f aca="false">440*3</f>
        <v>1320</v>
      </c>
      <c r="O24" s="2" t="n">
        <f aca="false">157*1.05</f>
        <v>164.85</v>
      </c>
      <c r="P24" s="0" t="n">
        <v>333</v>
      </c>
    </row>
    <row r="25" customFormat="false" ht="14.4" hidden="false" customHeight="true" outlineLevel="0" collapsed="false">
      <c r="A25" s="1" t="s">
        <v>98</v>
      </c>
      <c r="B25" s="4" t="n">
        <f aca="false">$B$19/$C$19*C25</f>
        <v>267.53436426117</v>
      </c>
      <c r="C25" s="2" t="n">
        <v>298</v>
      </c>
      <c r="D25" s="10" t="n">
        <v>1050</v>
      </c>
      <c r="E25" s="2" t="n">
        <v>260</v>
      </c>
      <c r="F25" s="2"/>
      <c r="G25" s="2" t="n">
        <v>260</v>
      </c>
      <c r="H25" s="2" t="n">
        <v>260</v>
      </c>
      <c r="I25" s="10" t="n">
        <v>11</v>
      </c>
      <c r="J25" s="13" t="n">
        <v>10</v>
      </c>
      <c r="K25" s="4" t="n">
        <v>10</v>
      </c>
      <c r="L25" s="13" t="n">
        <v>298</v>
      </c>
      <c r="M25" s="4" t="n">
        <v>12</v>
      </c>
      <c r="N25" s="1" t="n">
        <v>30</v>
      </c>
      <c r="O25" s="2" t="n">
        <v>7.752</v>
      </c>
      <c r="P25" s="0" t="n">
        <v>3</v>
      </c>
    </row>
    <row r="26" customFormat="false" ht="14.4" hidden="false" customHeight="true" outlineLevel="0" collapsed="false">
      <c r="A26" s="1" t="s">
        <v>27</v>
      </c>
      <c r="B26" s="2" t="n">
        <f aca="false">$B$19/$C$19*C26</f>
        <v>21.456615120275</v>
      </c>
      <c r="C26" s="2" t="n">
        <v>23.9</v>
      </c>
      <c r="D26" s="10" t="n">
        <v>84</v>
      </c>
      <c r="E26" s="2" t="n">
        <v>18.25</v>
      </c>
      <c r="F26" s="2"/>
      <c r="G26" s="2" t="n">
        <v>18.25</v>
      </c>
      <c r="H26" s="2" t="n">
        <v>18.25</v>
      </c>
      <c r="I26" s="10" t="n">
        <f aca="false">(I23+I22)/1000*14</f>
        <v>18.69</v>
      </c>
      <c r="J26" s="13" t="n">
        <f aca="false">(J23+J22)/1000*14</f>
        <v>17.64</v>
      </c>
      <c r="K26" s="4" t="n">
        <f aca="false">(K23+K22)/1000*14</f>
        <v>17.654</v>
      </c>
      <c r="L26" s="13" t="n">
        <v>23.9</v>
      </c>
      <c r="M26" s="2" t="n">
        <v>18</v>
      </c>
      <c r="N26" s="1" t="n">
        <v>36</v>
      </c>
      <c r="O26" s="1" t="n">
        <v>12</v>
      </c>
      <c r="P26" s="0" t="n">
        <v>6</v>
      </c>
      <c r="S26" s="14"/>
      <c r="T26" s="14"/>
      <c r="U26" s="14"/>
    </row>
    <row r="27" customFormat="false" ht="14.4" hidden="false" customHeight="true" outlineLevel="0" collapsed="false">
      <c r="A27" s="1" t="s">
        <v>74</v>
      </c>
      <c r="B27" s="2" t="n">
        <f aca="false">$B$19/$C$19*C27</f>
        <v>213.66838487973</v>
      </c>
      <c r="C27" s="1" t="n">
        <v>238</v>
      </c>
      <c r="D27" s="9"/>
      <c r="I27" s="9"/>
      <c r="J27" s="9" t="n">
        <v>238</v>
      </c>
      <c r="L27" s="9" t="n">
        <v>238</v>
      </c>
      <c r="P27" s="0" t="n">
        <v>90</v>
      </c>
      <c r="S27" s="14"/>
      <c r="T27" s="14"/>
      <c r="U27" s="14"/>
    </row>
    <row r="28" customFormat="false" ht="14.4" hidden="false" customHeight="true" outlineLevel="0" collapsed="false">
      <c r="A28" s="1" t="s">
        <v>77</v>
      </c>
      <c r="B28" s="2"/>
      <c r="D28" s="9"/>
      <c r="I28" s="9"/>
      <c r="J28" s="9"/>
      <c r="L28" s="9"/>
      <c r="M28" s="1" t="n">
        <v>50</v>
      </c>
      <c r="O28" s="1" t="n">
        <v>43</v>
      </c>
      <c r="S28" s="14"/>
      <c r="T28" s="14"/>
      <c r="U28" s="14"/>
    </row>
    <row r="29" customFormat="false" ht="14.4" hidden="false" customHeight="true" outlineLevel="0" collapsed="false">
      <c r="A29" s="1" t="s">
        <v>78</v>
      </c>
      <c r="B29" s="2"/>
      <c r="D29" s="9"/>
      <c r="I29" s="9"/>
      <c r="J29" s="9"/>
      <c r="L29" s="9"/>
      <c r="M29" s="1" t="n">
        <v>40</v>
      </c>
      <c r="S29" s="14"/>
      <c r="T29" s="14"/>
      <c r="U29" s="14"/>
    </row>
    <row r="30" customFormat="false" ht="14.4" hidden="false" customHeight="true" outlineLevel="0" collapsed="false">
      <c r="A30" s="1" t="s">
        <v>31</v>
      </c>
      <c r="B30" s="2"/>
      <c r="D30" s="9"/>
      <c r="I30" s="9"/>
      <c r="J30" s="9"/>
      <c r="L30" s="9"/>
      <c r="M30" s="1" t="n">
        <v>30</v>
      </c>
      <c r="N30" s="1" t="n">
        <v>77</v>
      </c>
      <c r="O30" s="1" t="n">
        <v>43</v>
      </c>
      <c r="S30" s="14"/>
      <c r="T30" s="14"/>
      <c r="U30" s="14"/>
    </row>
    <row r="31" customFormat="false" ht="14.4" hidden="false" customHeight="true" outlineLevel="0" collapsed="false">
      <c r="A31" s="1" t="s">
        <v>99</v>
      </c>
      <c r="B31" s="2"/>
      <c r="D31" s="9"/>
      <c r="I31" s="9"/>
      <c r="J31" s="9"/>
      <c r="L31" s="9"/>
      <c r="M31" s="1" t="n">
        <v>50</v>
      </c>
      <c r="O31" s="2" t="n">
        <f aca="false">171*1.05</f>
        <v>179.55</v>
      </c>
      <c r="S31" s="14"/>
      <c r="T31" s="14"/>
      <c r="U31" s="14"/>
    </row>
    <row r="32" customFormat="false" ht="14.4" hidden="false" customHeight="true" outlineLevel="0" collapsed="false">
      <c r="A32" s="1" t="s">
        <v>100</v>
      </c>
      <c r="B32" s="2" t="n">
        <f aca="false">C32/$C$19*$B$19</f>
        <v>2557.6464776632</v>
      </c>
      <c r="C32" s="2" t="n">
        <f aca="false">SUM(C22:C27)</f>
        <v>2848.9</v>
      </c>
      <c r="D32" s="10" t="n">
        <f aca="false">SUM(D22:D26)</f>
        <v>8946.74</v>
      </c>
      <c r="E32" s="2" t="n">
        <f aca="false">SUM(E22:E26)</f>
        <v>1851.25</v>
      </c>
      <c r="F32" s="2"/>
      <c r="G32" s="2" t="n">
        <f aca="false">SUM(G22:G26)</f>
        <v>1928.25</v>
      </c>
      <c r="H32" s="2" t="n">
        <f aca="false">SUM(H22:H26)</f>
        <v>1888.25</v>
      </c>
      <c r="I32" s="10" t="n">
        <f aca="false">SUM(I22:I26)</f>
        <v>2272.94</v>
      </c>
      <c r="J32" s="10" t="n">
        <f aca="false">SUM(J22:J27)</f>
        <v>2417.64</v>
      </c>
      <c r="K32" s="2" t="n">
        <f aca="false">SUM(K22:K26)</f>
        <v>2105.654</v>
      </c>
      <c r="L32" s="10" t="n">
        <f aca="false">SUM(L22:L27)</f>
        <v>2848.9</v>
      </c>
      <c r="M32" s="2" t="n">
        <f aca="false">SUM(M22:M31)</f>
        <v>1720</v>
      </c>
      <c r="N32" s="2"/>
      <c r="U32" s="1" t="s">
        <v>101</v>
      </c>
      <c r="V32" s="14" t="s">
        <v>102</v>
      </c>
    </row>
    <row r="33" customFormat="false" ht="14.4" hidden="false" customHeight="true" outlineLevel="0" collapsed="false">
      <c r="A33" s="1" t="s">
        <v>103</v>
      </c>
      <c r="B33" s="6" t="n">
        <f aca="false">(0.5*B25+B24)/(B20+B25*0.5)</f>
        <v>0.74983096686951</v>
      </c>
      <c r="C33" s="6" t="n">
        <f aca="false">(0.5*C25+C24)/(C20+C25*0.5)</f>
        <v>0.74983096686951</v>
      </c>
      <c r="D33" s="7" t="n">
        <f aca="false">(0.5*D25+D24)/(D20+D25*0.5)</f>
        <v>0.672928456285133</v>
      </c>
      <c r="E33" s="15" t="n">
        <f aca="false">(0.5*E25+E24)/(E20+E25*0.5)</f>
        <v>0.62212389380531</v>
      </c>
      <c r="F33" s="15"/>
      <c r="G33" s="15" t="n">
        <f aca="false">(0.5*G25+G24)/(G20+G25*0.5)</f>
        <v>0.69026548672566</v>
      </c>
      <c r="H33" s="15" t="n">
        <f aca="false">(0.5*H25+H24)/(H20+H25*0.5)</f>
        <v>0.65486725663717</v>
      </c>
      <c r="I33" s="16" t="n">
        <f aca="false">(0.5*I25+I24)/(I20+I25*0.5)</f>
        <v>0.6816486385677</v>
      </c>
      <c r="J33" s="17" t="n">
        <f aca="false">(0.5*J25+J24)/(J20+J25*0.5)</f>
        <v>0.70909090909091</v>
      </c>
      <c r="K33" s="6" t="n">
        <f aca="false">(0.5*K25+K24)/(K20+K25*0.5)</f>
        <v>0.6498023715415</v>
      </c>
      <c r="L33" s="7" t="n">
        <f aca="false">(0.5*L25+L24)/(L20+L25*0.5)</f>
        <v>0.74983096686951</v>
      </c>
      <c r="M33" s="15"/>
      <c r="N33" s="15"/>
      <c r="P33" s="18" t="n">
        <f aca="false">(0.5*P25+P24)/(P20+P25*0.5)</f>
        <v>0.91769547325103</v>
      </c>
      <c r="T33" s="1" t="n">
        <v>39</v>
      </c>
      <c r="V33" s="14" t="s">
        <v>104</v>
      </c>
    </row>
    <row r="34" customFormat="false" ht="14.4" hidden="false" customHeight="true" outlineLevel="0" collapsed="false">
      <c r="A34" s="1" t="s">
        <v>105</v>
      </c>
      <c r="B34" s="15" t="n">
        <f aca="false">(B25/2+B22)/B20</f>
        <v>0.14736842105263</v>
      </c>
      <c r="C34" s="6" t="n">
        <f aca="false">(C25/2+C22)/C20</f>
        <v>0.14736842105263</v>
      </c>
      <c r="D34" s="17" t="n">
        <f aca="false">(D25/2+D22)/D20</f>
        <v>0.14959960106773</v>
      </c>
      <c r="E34" s="15" t="n">
        <f aca="false">(E25/2+E22)/E20</f>
        <v>0.15</v>
      </c>
      <c r="F34" s="15"/>
      <c r="G34" s="15" t="n">
        <f aca="false">(G25/2+G22)/G20</f>
        <v>0.15</v>
      </c>
      <c r="H34" s="15" t="n">
        <f aca="false">(H25/2+H22)/H20</f>
        <v>0.15</v>
      </c>
      <c r="I34" s="16" t="n">
        <f aca="false">(I25/2+I22)/I20</f>
        <v>0.0041198501872659</v>
      </c>
      <c r="J34" s="17" t="n">
        <f aca="false">(J25/2+J22)/J20</f>
        <v>0.003968253968254</v>
      </c>
      <c r="K34" s="6" t="n">
        <f aca="false">(K25/2+K22)/K20</f>
        <v>0.15</v>
      </c>
      <c r="L34" s="17" t="n">
        <f aca="false">(L25/2+L22)/L20</f>
        <v>0.14736842105263</v>
      </c>
      <c r="M34" s="6"/>
      <c r="N34" s="6"/>
      <c r="V34" s="14"/>
    </row>
    <row r="35" customFormat="false" ht="14.4" hidden="false" customHeight="true" outlineLevel="0" collapsed="false">
      <c r="A35" s="1" t="s">
        <v>106</v>
      </c>
      <c r="B35" s="15" t="n">
        <f aca="false">B25/B20</f>
        <v>0.22406015037594</v>
      </c>
      <c r="C35" s="15" t="n">
        <f aca="false">C25/C20</f>
        <v>0.22406015037594</v>
      </c>
      <c r="D35" s="16" t="n">
        <f aca="false">D25/D20</f>
        <v>0.2199994133349</v>
      </c>
      <c r="E35" s="15" t="n">
        <f aca="false">E25/E20</f>
        <v>0.26</v>
      </c>
      <c r="F35" s="15"/>
      <c r="G35" s="15" t="n">
        <f aca="false">G25/G20</f>
        <v>0.26</v>
      </c>
      <c r="H35" s="15" t="n">
        <f aca="false">H25/H20</f>
        <v>0.26</v>
      </c>
      <c r="I35" s="17" t="n">
        <f aca="false">I25/I20</f>
        <v>0.0082397003745318</v>
      </c>
      <c r="J35" s="17" t="n">
        <f aca="false">J25/J20</f>
        <v>0.0079365079365079</v>
      </c>
      <c r="K35" s="6" t="n">
        <f aca="false">K25/K20</f>
        <v>0.0079365079365079</v>
      </c>
      <c r="L35" s="17" t="n">
        <f aca="false">L25/L20</f>
        <v>0.22406015037594</v>
      </c>
      <c r="M35" s="15"/>
      <c r="N35" s="15"/>
      <c r="V35" s="14" t="s">
        <v>107</v>
      </c>
    </row>
    <row r="36" customFormat="false" ht="14.4" hidden="false" customHeight="true" outlineLevel="0" collapsed="false">
      <c r="B36" s="2"/>
      <c r="D36" s="1" t="s">
        <v>108</v>
      </c>
      <c r="E36" s="1" t="s">
        <v>108</v>
      </c>
      <c r="F36" s="15"/>
      <c r="H36" s="1" t="s">
        <v>109</v>
      </c>
      <c r="P36" s="14" t="s">
        <v>110</v>
      </c>
      <c r="Q36" s="14" t="s">
        <v>111</v>
      </c>
      <c r="R36" s="14" t="n">
        <v>300</v>
      </c>
      <c r="S36" s="1" t="n">
        <v>995</v>
      </c>
      <c r="U36" s="1" t="s">
        <v>112</v>
      </c>
      <c r="V36" s="14" t="s">
        <v>113</v>
      </c>
    </row>
    <row r="37" customFormat="false" ht="14.4" hidden="false" customHeight="true" outlineLevel="0" collapsed="false">
      <c r="B37" s="2" t="n">
        <f aca="false">B23/2</f>
        <v>575.46821305842</v>
      </c>
      <c r="F37" s="15"/>
      <c r="O37" s="1" t="s">
        <v>114</v>
      </c>
      <c r="P37" s="14" t="s">
        <v>115</v>
      </c>
      <c r="Q37" s="14" t="s">
        <v>116</v>
      </c>
      <c r="R37" s="14" t="n">
        <v>300</v>
      </c>
      <c r="S37" s="1" t="n">
        <v>1020</v>
      </c>
      <c r="T37" s="1" t="n">
        <v>50</v>
      </c>
      <c r="V37" s="14" t="s">
        <v>117</v>
      </c>
    </row>
    <row r="38" customFormat="false" ht="14.4" hidden="false" customHeight="true" outlineLevel="0" collapsed="false">
      <c r="B38" s="2"/>
      <c r="I38" s="1" t="n">
        <f aca="false">I26/I19*600</f>
        <v>5.8254545454545</v>
      </c>
      <c r="P38" s="14" t="s">
        <v>115</v>
      </c>
      <c r="Q38" s="14" t="s">
        <v>118</v>
      </c>
      <c r="R38" s="14" t="n">
        <v>300</v>
      </c>
      <c r="S38" s="2" t="n">
        <f aca="false">1430/1.2</f>
        <v>1191.6666666667</v>
      </c>
      <c r="T38" s="1" t="n">
        <v>50</v>
      </c>
      <c r="V38" s="14" t="s">
        <v>119</v>
      </c>
    </row>
    <row r="39" customFormat="false" ht="14.4" hidden="false" customHeight="true" outlineLevel="0" collapsed="false">
      <c r="B39" s="2"/>
      <c r="P39" s="14"/>
      <c r="Q39" s="14" t="s">
        <v>118</v>
      </c>
      <c r="R39" s="14" t="n">
        <v>450</v>
      </c>
      <c r="S39" s="2" t="n">
        <f aca="false">2399/1.2</f>
        <v>1999.1666666667</v>
      </c>
      <c r="U39" s="1" t="s">
        <v>120</v>
      </c>
      <c r="V39" s="14" t="s">
        <v>121</v>
      </c>
    </row>
    <row r="40" customFormat="false" ht="14.4" hidden="false" customHeight="true" outlineLevel="0" collapsed="false">
      <c r="B40" s="2" t="n">
        <f aca="false">650*1.15</f>
        <v>747.5</v>
      </c>
      <c r="P40" s="14"/>
      <c r="Q40" s="14"/>
      <c r="R40" s="14"/>
      <c r="S40" s="2" t="n">
        <f aca="false">1247/1.2</f>
        <v>1039.1666666667</v>
      </c>
      <c r="V40" s="14" t="s">
        <v>122</v>
      </c>
    </row>
    <row r="41" customFormat="false" ht="14.4" hidden="false" customHeight="true" outlineLevel="0" collapsed="false">
      <c r="B41" s="2" t="n">
        <f aca="false">750*3</f>
        <v>2250</v>
      </c>
      <c r="H41" s="1" t="n">
        <f aca="false">75/650</f>
        <v>0.11538461538462</v>
      </c>
      <c r="I41" s="1" t="n">
        <f aca="false">3*650</f>
        <v>1950</v>
      </c>
      <c r="J41" s="1" t="n">
        <f aca="false">J42*I41/I42</f>
        <v>2096.4666666667</v>
      </c>
      <c r="K41" s="1" t="n">
        <f aca="false">225/1800</f>
        <v>0.125</v>
      </c>
      <c r="P41" s="14"/>
      <c r="Q41" s="19" t="s">
        <v>123</v>
      </c>
      <c r="R41" s="14"/>
      <c r="S41" s="2" t="n">
        <f aca="false">1199/1.2</f>
        <v>999.16666666667</v>
      </c>
      <c r="V41" s="14" t="s">
        <v>124</v>
      </c>
    </row>
    <row r="42" customFormat="false" ht="14.4" hidden="false" customHeight="true" outlineLevel="0" collapsed="false">
      <c r="B42" s="2"/>
      <c r="I42" s="1" t="n">
        <f aca="false">750*3</f>
        <v>2250</v>
      </c>
      <c r="J42" s="1" t="n">
        <v>2419</v>
      </c>
      <c r="P42" s="14"/>
      <c r="Q42" s="19" t="s">
        <v>125</v>
      </c>
      <c r="R42" s="14"/>
      <c r="S42" s="2" t="n">
        <f aca="false">1259/1.2</f>
        <v>1049.1666666667</v>
      </c>
      <c r="V42" s="14" t="s">
        <v>126</v>
      </c>
    </row>
    <row r="43" customFormat="false" ht="14.4" hidden="false" customHeight="true" outlineLevel="0" collapsed="false">
      <c r="B43" s="2" t="n">
        <f aca="false">600/0.22</f>
        <v>2727.2727272727</v>
      </c>
      <c r="C43" s="1" t="n">
        <f aca="false">B43/0.64</f>
        <v>4261.3636363636</v>
      </c>
      <c r="P43" s="14"/>
      <c r="Q43" s="19" t="s">
        <v>125</v>
      </c>
      <c r="R43" s="14"/>
      <c r="S43" s="2" t="n">
        <v>1299</v>
      </c>
      <c r="V43" s="14" t="s">
        <v>127</v>
      </c>
    </row>
    <row r="44" customFormat="false" ht="14.4" hidden="false" customHeight="true" outlineLevel="0" collapsed="false">
      <c r="B44" s="6"/>
      <c r="O44" s="1" t="s">
        <v>128</v>
      </c>
      <c r="P44" s="14" t="s">
        <v>129</v>
      </c>
      <c r="Q44" s="14"/>
      <c r="R44" s="14"/>
    </row>
    <row r="45" customFormat="false" ht="14.4" hidden="false" customHeight="true" outlineLevel="0" collapsed="false">
      <c r="C45" s="1" t="n">
        <f aca="false">10/0.64</f>
        <v>15.625</v>
      </c>
      <c r="D45" s="1" t="n">
        <f aca="false">C45*6.3</f>
        <v>98.4375</v>
      </c>
      <c r="O45" s="1" t="s">
        <v>130</v>
      </c>
      <c r="P45" s="14" t="s">
        <v>131</v>
      </c>
      <c r="Q45" s="14"/>
      <c r="R45" s="14"/>
    </row>
    <row r="46" customFormat="false" ht="14.4" hidden="false" customHeight="true" outlineLevel="0" collapsed="false">
      <c r="C46" s="1" t="n">
        <f aca="false">35/0.64</f>
        <v>54.6875</v>
      </c>
      <c r="D46" s="1" t="n">
        <f aca="false">C46*8.2</f>
        <v>448.4375</v>
      </c>
      <c r="F46" s="1" t="s">
        <v>132</v>
      </c>
      <c r="O46" s="1" t="s">
        <v>133</v>
      </c>
      <c r="P46" s="1" t="s">
        <v>134</v>
      </c>
      <c r="S46" s="1" t="n">
        <v>657</v>
      </c>
      <c r="V46" s="14" t="s">
        <v>135</v>
      </c>
    </row>
    <row r="47" customFormat="false" ht="14.4" hidden="false" customHeight="true" outlineLevel="0" collapsed="false">
      <c r="F47" s="1" t="s">
        <v>136</v>
      </c>
      <c r="O47" s="1" t="s">
        <v>137</v>
      </c>
    </row>
    <row r="48" customFormat="false" ht="14.4" hidden="false" customHeight="true" outlineLevel="0" collapsed="false">
      <c r="A48" s="1" t="s">
        <v>138</v>
      </c>
      <c r="F48" s="1" t="s">
        <v>139</v>
      </c>
      <c r="P48" s="1" t="s">
        <v>140</v>
      </c>
      <c r="Q48" s="1" t="s">
        <v>141</v>
      </c>
      <c r="S48" s="1" t="n">
        <f aca="false">1500/1.2</f>
        <v>1250</v>
      </c>
      <c r="V48" s="14" t="s">
        <v>142</v>
      </c>
    </row>
    <row r="49" customFormat="false" ht="15.4" hidden="false" customHeight="true" outlineLevel="0" collapsed="false">
      <c r="B49" s="1" t="s">
        <v>143</v>
      </c>
      <c r="C49" s="1" t="n">
        <v>1000</v>
      </c>
      <c r="D49" s="2" t="n">
        <f aca="false">C49*1.33</f>
        <v>1330</v>
      </c>
      <c r="G49" s="20" t="s">
        <v>144</v>
      </c>
      <c r="P49" s="1" t="s">
        <v>145</v>
      </c>
      <c r="Q49" s="1" t="s">
        <v>146</v>
      </c>
      <c r="S49" s="2" t="n">
        <f aca="false">1600/1.2</f>
        <v>1333.3333333333</v>
      </c>
      <c r="V49" s="14" t="s">
        <v>147</v>
      </c>
    </row>
    <row r="50" customFormat="false" ht="15.4" hidden="false" customHeight="true" outlineLevel="0" collapsed="false">
      <c r="B50" s="1" t="s">
        <v>25</v>
      </c>
      <c r="C50" s="1" t="n">
        <v>520</v>
      </c>
      <c r="D50" s="2" t="n">
        <f aca="false">C50*1.33</f>
        <v>691.6</v>
      </c>
      <c r="G50" s="20"/>
      <c r="P50" s="1" t="s">
        <v>145</v>
      </c>
      <c r="Q50" s="1" t="s">
        <v>148</v>
      </c>
      <c r="S50" s="2" t="n">
        <v>1770</v>
      </c>
      <c r="V50" s="14" t="s">
        <v>149</v>
      </c>
    </row>
    <row r="51" customFormat="false" ht="15.4" hidden="false" customHeight="true" outlineLevel="0" collapsed="false">
      <c r="B51" s="1" t="s">
        <v>150</v>
      </c>
      <c r="C51" s="1" t="n">
        <v>50</v>
      </c>
      <c r="D51" s="2" t="n">
        <f aca="false">C51*1.33</f>
        <v>66.5</v>
      </c>
      <c r="G51" s="20"/>
      <c r="S51" s="2" t="n">
        <v>1755</v>
      </c>
      <c r="V51" s="14" t="s">
        <v>151</v>
      </c>
    </row>
    <row r="52" customFormat="false" ht="15.4" hidden="false" customHeight="true" outlineLevel="0" collapsed="false">
      <c r="B52" s="1" t="s">
        <v>152</v>
      </c>
      <c r="C52" s="1" t="n">
        <v>30</v>
      </c>
      <c r="D52" s="2" t="n">
        <f aca="false">C52*1.33</f>
        <v>39.9</v>
      </c>
      <c r="G52" s="20"/>
      <c r="P52" s="1" t="s">
        <v>153</v>
      </c>
      <c r="Q52" s="1" t="s">
        <v>154</v>
      </c>
      <c r="S52" s="2" t="n">
        <v>915</v>
      </c>
      <c r="V52" s="14" t="s">
        <v>155</v>
      </c>
    </row>
    <row r="53" customFormat="false" ht="15.4" hidden="false" customHeight="true" outlineLevel="0" collapsed="false">
      <c r="B53" s="1" t="s">
        <v>78</v>
      </c>
      <c r="C53" s="1" t="n">
        <v>40</v>
      </c>
      <c r="D53" s="2" t="n">
        <f aca="false">C53*1.33</f>
        <v>53.2</v>
      </c>
      <c r="G53" s="20"/>
      <c r="O53" s="1" t="s">
        <v>156</v>
      </c>
      <c r="S53" s="1" t="n">
        <v>6000</v>
      </c>
    </row>
    <row r="54" customFormat="false" ht="15.4" hidden="false" customHeight="true" outlineLevel="0" collapsed="false">
      <c r="B54" s="2" t="s">
        <v>77</v>
      </c>
      <c r="C54" s="2" t="n">
        <v>50</v>
      </c>
      <c r="D54" s="2" t="n">
        <f aca="false">C54*1.33</f>
        <v>66.5</v>
      </c>
      <c r="G54" s="20"/>
      <c r="O54" s="1" t="s">
        <v>157</v>
      </c>
      <c r="S54" s="1" t="n">
        <v>1000</v>
      </c>
      <c r="V54" s="14" t="s">
        <v>158</v>
      </c>
    </row>
    <row r="55" customFormat="false" ht="15.4" hidden="false" customHeight="true" outlineLevel="0" collapsed="false">
      <c r="B55" s="2" t="s">
        <v>159</v>
      </c>
      <c r="C55" s="2" t="n">
        <v>30</v>
      </c>
      <c r="D55" s="2" t="n">
        <f aca="false">C55*1.33</f>
        <v>39.9</v>
      </c>
      <c r="G55" s="20"/>
      <c r="O55" s="1" t="s">
        <v>160</v>
      </c>
      <c r="S55" s="1" t="n">
        <v>660</v>
      </c>
      <c r="V55" s="14" t="s">
        <v>161</v>
      </c>
    </row>
    <row r="56" customFormat="false" ht="15.4" hidden="false" customHeight="true" outlineLevel="0" collapsed="false">
      <c r="B56" s="2" t="s">
        <v>27</v>
      </c>
      <c r="C56" s="2" t="n">
        <v>18</v>
      </c>
      <c r="D56" s="2" t="n">
        <f aca="false">C56*1.33</f>
        <v>23.94</v>
      </c>
      <c r="G56" s="20"/>
      <c r="S56" s="1" t="n">
        <v>657</v>
      </c>
      <c r="V56" s="14" t="s">
        <v>162</v>
      </c>
    </row>
    <row r="57" customFormat="false" ht="15.4" hidden="false" customHeight="true" outlineLevel="0" collapsed="false">
      <c r="B57" s="2"/>
      <c r="C57" s="2"/>
      <c r="D57" s="2" t="n">
        <f aca="false">SUM(D49:D56)</f>
        <v>2311.54</v>
      </c>
      <c r="G57" s="20"/>
      <c r="O57" s="1" t="s">
        <v>163</v>
      </c>
      <c r="S57" s="1" t="n">
        <f aca="false">798/1.2</f>
        <v>665</v>
      </c>
      <c r="V57" s="14" t="s">
        <v>164</v>
      </c>
    </row>
    <row r="58" customFormat="false" ht="15.4" hidden="false" customHeight="true" outlineLevel="0" collapsed="false">
      <c r="G58" s="20"/>
      <c r="O58" s="1" t="s">
        <v>165</v>
      </c>
      <c r="S58" s="1" t="n">
        <f aca="false">2*657</f>
        <v>1314</v>
      </c>
      <c r="V58" s="14" t="s">
        <v>135</v>
      </c>
    </row>
    <row r="59" customFormat="false" ht="15.4" hidden="false" customHeight="true" outlineLevel="0" collapsed="false">
      <c r="G59" s="20"/>
      <c r="O59" s="1" t="s">
        <v>166</v>
      </c>
      <c r="S59" s="1" t="n">
        <v>20</v>
      </c>
      <c r="V59" s="14" t="s">
        <v>167</v>
      </c>
    </row>
    <row r="60" customFormat="false" ht="15.4" hidden="false" customHeight="true" outlineLevel="0" collapsed="false">
      <c r="G60" s="20"/>
      <c r="O60" s="1" t="s">
        <v>168</v>
      </c>
      <c r="S60" s="1" t="n">
        <v>38</v>
      </c>
      <c r="V60" s="14" t="s">
        <v>169</v>
      </c>
    </row>
    <row r="61" customFormat="false" ht="14.4" hidden="false" customHeight="true" outlineLevel="0" collapsed="false">
      <c r="O61" s="1" t="s">
        <v>170</v>
      </c>
      <c r="P61" s="1" t="s">
        <v>171</v>
      </c>
      <c r="Q61" s="1" t="s">
        <v>172</v>
      </c>
      <c r="S61" s="1" t="n">
        <f aca="false">426/1.2</f>
        <v>355</v>
      </c>
      <c r="V61" s="14" t="s">
        <v>173</v>
      </c>
    </row>
    <row r="62" customFormat="false" ht="14.4" hidden="false" customHeight="true" outlineLevel="0" collapsed="false">
      <c r="O62" s="1" t="s">
        <v>174</v>
      </c>
      <c r="S62" s="2" t="n">
        <f aca="false">55/1.2</f>
        <v>45.833333333333</v>
      </c>
      <c r="V62" s="14" t="s">
        <v>175</v>
      </c>
    </row>
    <row r="65" customFormat="false" ht="14.4" hidden="false" customHeight="true" outlineLevel="0" collapsed="false">
      <c r="C65" s="2"/>
      <c r="D65" s="2"/>
    </row>
    <row r="66" customFormat="false" ht="14.4" hidden="false" customHeight="true" outlineLevel="0" collapsed="false">
      <c r="C66" s="6"/>
      <c r="D66" s="6"/>
    </row>
    <row r="67" customFormat="false" ht="14.4" hidden="false" customHeight="true" outlineLevel="0" collapsed="false">
      <c r="C67" s="15"/>
      <c r="D67" s="15"/>
    </row>
  </sheetData>
  <hyperlinks>
    <hyperlink ref="V32" r:id="rId1" display="https://www.caloria.fr/6339-four-patissier-230v-humidificateur-4-niveaux-diamond.html"/>
    <hyperlink ref="V33" r:id="rId2" display="https://www.quiditmieux.fr/four-a-convection-mecanique-4-niveaux-60-x-40-gn-1-1-technitalia,fr,4,FM461.cfm"/>
    <hyperlink ref="V35" r:id="rId3" display="https://www.chr-master.com/four-mixte-a-convection/2324-four-patissier-a-convection-avec-humidificateur-t04m-digital-gamme-torcello-venix.html"/>
    <hyperlink ref="V36" r:id="rId4" display="https://www.stock-direct-chr.com/four-de-boulangerie-et-de-patisserie-230v-3-4-kw-225516-hendifoodserviceequipement/p19229"/>
    <hyperlink ref="V37" r:id="rId5" display="https://www.materielpizzadirect.com/four-a-pizza-electrique-professionnel/604-four-a-pizza-electrique-four-8-pizzas-professionnel-33-cm-230v-380v-3700912105141.html#/15-puissance-230v/14-assurance-assurance_1_an"/>
    <hyperlink ref="V38" r:id="rId6" display="https://www.materielpizzadirect.com/four-a-pizza-electrique-professionnel/602-four-a-pizza-electrique-professionnel-four-12-pizzas-33-cm-230v380v-3700912105158.html?search_query=prim12&amp;results=5"/>
    <hyperlink ref="V39" r:id="rId7" display="https://www.materielpizzadirect.com/four-a-pizza-electrique-professionnel/14315-four-pizzas-electrique-2x6-pizzas-pizza-group-3700912105103.html?search_query=TOUT+REFRACTAIRE&amp;results=789"/>
    <hyperlink ref="V40" r:id="rId8" display="https://www.gastrovens.com/fr/linea-economica/30-f66.html"/>
    <hyperlink ref="V41" r:id="rId9" display="https://matosprochr.fr/produit/four-a-pizza-66x30cm/"/>
    <hyperlink ref="V42" r:id="rId10" display="https://matosprochr.fr/produit/four-a-pizza-66x32cm/"/>
    <hyperlink ref="V43" r:id="rId11" display="https://www.proinoxchr.fr/fr/fours-electriques-proline/5059-four-a-pizzas-electrique-2-chambres-triphase-12-pizzas-diametre-33cm.html"/>
    <hyperlink ref="P44" r:id="rId12" display="https://alsace-tradition.fr/pierres-refractaires/2-pierre-refractaire-40-x-30-cm.html#/1-epaisseur-3_cm"/>
    <hyperlink ref="P45" r:id="rId13" display="http://www.cotonis.fr/toile-de-couche-pour-boulangerie.html"/>
    <hyperlink ref="V46" r:id="rId14" display="https://www.chr-master.com/etuves-chauffantesfermentation/2357-etuve-chauffante-statique-8-niveaux-600-x-400-gn-11-pour-four-venix-b04dm-b03dm-t04dm-t06dm.html#/477-venix_four_mixte_a_vapeur_par_injection-sans"/>
    <hyperlink ref="V48" r:id="rId15" display="https://matosprochr.fr/produit/petrin-65-litres-380v-obliques/"/>
    <hyperlink ref="V49" r:id="rId16" display="https://matosprochr.fr/produit/petrin-53-litres-tete-relevablecuve-amovible-2-vitesses-380v/"/>
    <hyperlink ref="V50" r:id="rId17" display="https://www.chr-master.com/petrin-tete-relevable-et-cuve-extractible/1292-petrins-avec-tete-soulevable-et-cuve-extractible-53-litres-monophase-modele-ir53-vs-pizza-group.html"/>
    <hyperlink ref="V51" r:id="rId18" display="https://www.stock-direct-chr.com/petrin-pizza-professionnel-cuve-extractible-53-litres-monophase-vitesse-variable-ir53vs-pizzagroup/p19649"/>
    <hyperlink ref="V52" r:id="rId19" display="https://matosprochr.fr/produit/petrin-30-litres-tete-relevable-cuve-extrictableminuteur-230v-mono/"/>
    <hyperlink ref="V54" r:id="rId20" display="https://restaudepot31.fr/epages/LaPoste.sf/fr_FR/?ObjectPath=/Shops/box82488-170814/Products/Faf650"/>
    <hyperlink ref="V55" r:id="rId21" display="https://www.quiditmieux.fr/armoire-refrigeree-laquee-blanc-600-litres-qdm,fr,4,AW-R600.cfm"/>
    <hyperlink ref="V56" r:id="rId22" display="https://www.stock-direct-chr.com/armoire-refrigeree-blanche-plus2-plus8degrec600l-gaz-r600a-avec-3plus1-clayettes-fermeture-a-cle-aw-rc600-l2g/p17801"/>
    <hyperlink ref="V57" r:id="rId23" display="https://www.materielpizzadirect.com/armoire-froide-1-porte/589-armoire-refrigeree-positive-paiement-4x-gn-21-garantie-2-ans-600-l-classe-n-8080898815858.html"/>
    <hyperlink ref="V58" r:id="rId24" display="https://www.chr-master.com/etuves-chauffantesfermentation/2357-etuve-chauffante-statique-8-niveaux-600-x-400-gn-11-pour-four-venix-b04dm-b03dm-t04dm-t06dm.html#/477-venix_four_mixte_a_vapeur_par_injection-sans"/>
    <hyperlink ref="V59" r:id="rId25" display="http://www.distri-chariot.com/index.php?page=afficher_produit&amp;id_com=1361324&amp;lg=1"/>
    <hyperlink ref="V60" r:id="rId26" display="https://www.embalimat.com/moule-en-bois/304-100-pani-moule-vicomte-moule-de-cuisson-en-bois-panibois-2049300450090.html"/>
    <hyperlink ref="V61" r:id="rId27" display="https://www.berkeywaterfilterseurope.fr/filtre-a-eau-crown-berkey"/>
    <hyperlink ref="V62" r:id="rId28" display="https://www.amazon.fr/Bouchon-original-conservation-recettes-bormioli/dp/B00KNXSVQY/ref=sr_1_5?__mk_fr_FR=%C3%85M%C3%85%C5%BD%C3%95%C3%91&amp;keywords=bocal+10L&amp;qid=1573208165&amp;s=kitchen&amp;sr=1-5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LibreOffice/6.4.6.2$Linux_X86_64 LibreOffice_project/40$Build-2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2020-06-08T16:04:45Z</dcterms:created>
  <dc:creator>Unknown Creator</dc:creator>
  <dc:description/>
  <dc:language>fr-FR</dc:language>
  <cp:lastModifiedBy/>
  <dcterms:modified xsi:type="dcterms:W3CDTF">2021-01-20T16:13:48Z</dcterms:modified>
  <cp:revision>4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  <property fmtid="{D5CDD505-2E9C-101B-9397-08002B2CF9AE}" pid="9" name="category">
    <vt:lpwstr/>
  </property>
</Properties>
</file>