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cp_cmd!$O$3:$W$39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cp_cmd!$E$2:$S$29</definedName>
    <definedName function="false" hidden="false" localSheetId="0" name="_xlnm_Print_Area_0" vbProcedure="false">cp_cmd!$E$2:$T$29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<sst xmlns="http://schemas.openxmlformats.org/spreadsheetml/2006/main" count="263" uniqueCount="163">
  <si>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</si>
  <si>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</si>
  <si>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</si>
  <si>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</si>
  <si>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</si>
  <si>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</si>
  <si>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</si>
  <si>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</si>
  <si>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</si>
  <si>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</si>
  <si>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Miel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</si>
  <si>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</si>
  <si>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</si>
  <si>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</si>
  <si>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</si>
  <si>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</si>
  <si>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</si>
  <si>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</si>
  <si>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</si>
  <si>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</si>
  <si>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</si>
  <si>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4,5 @Faconnage</t>
  </si>
  <si>
    <t xml:space="preserve">4,2@Enfournnement</t>
  </si>
  <si>
    <t xml:space="preserve">-0,2/Heure</t>
  </si>
  <si>
    <t xml:space="preserve">TB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</si>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</sst>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%"/>
    <numFmt numFmtId="172" formatCode="0\ %"/>
    <numFmt numFmtId="173" formatCode="#,##0.00\ [$€-40C];[RED]\-#,##0.00\ [$€-40C]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2"/>
  <sheetViews>
    <sheetView showFormulas="false" showGridLines="true" showRowColHeaders="true" showZeros="true" rightToLeft="false" tabSelected="false" showOutlineSymbols="true" defaultGridColor="true" view="normal" topLeftCell="A7" colorId="64" zoomScale="84" zoomScaleNormal="84" zoomScalePageLayoutView="100" workbookViewId="0">
      <selection pane="topLeft" activeCell="S18" activeCellId="1" sqref="D14:D19 S18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s">
        <v>21</v>
      </c>
      <c r="Q17" s="11"/>
      <c r="R17" s="8"/>
      <c r="S17" s="8" t="s">
        <v>22</v>
      </c>
      <c r="T17" s="8"/>
      <c r="U17" s="9"/>
      <c r="V17" s="10" t="s">
        <v>23</v>
      </c>
      <c r="W17" s="10"/>
    </row>
    <row r="18" customFormat="false" ht="24.85" hidden="false" customHeight="true" outlineLevel="0" collapsed="false">
      <c r="O18" s="13" t="s">
        <v>24</v>
      </c>
      <c r="P18" s="11" t="n">
        <v>65</v>
      </c>
      <c r="Q18" s="11" t="n">
        <v>70</v>
      </c>
      <c r="R18" s="8"/>
      <c r="S18" s="8"/>
      <c r="T18" s="11" t="n">
        <v>65</v>
      </c>
      <c r="U18" s="9"/>
      <c r="V18" s="10"/>
      <c r="W18" s="10"/>
    </row>
    <row r="19" customFormat="false" ht="214.95" hidden="false" customHeight="true" outlineLevel="0" collapsed="false">
      <c r="P19" s="15"/>
    </row>
    <row r="20" customFormat="false" ht="24.95" hidden="false" customHeight="true" outlineLevel="0" collapsed="false">
      <c r="O20" s="16" t="str">
        <f aca="false">cp_recap!A3</f>
        <v>Méteil Nature 15% Seigle</v>
      </c>
      <c r="P20" s="17"/>
      <c r="Q20" s="18"/>
      <c r="R20" s="19" t="str">
        <f aca="false">cp_recap!B3</f>
        <v>batard</v>
      </c>
      <c r="S20" s="20" t="str">
        <f aca="false">cp_recap!C3</f>
        <v>600g</v>
      </c>
      <c r="T20" s="20" t="n">
        <f aca="false">cp_recap!D3</f>
        <v>0</v>
      </c>
      <c r="U20" s="21"/>
      <c r="V20" s="22" t="n">
        <v>700</v>
      </c>
    </row>
    <row r="21" customFormat="false" ht="24.95" hidden="false" customHeight="true" outlineLevel="0" collapsed="false">
      <c r="O21" s="23"/>
      <c r="P21" s="24"/>
      <c r="Q21" s="25"/>
      <c r="R21" s="26" t="str">
        <f aca="false">cp_recap!B4</f>
        <v>batard</v>
      </c>
      <c r="S21" s="27" t="str">
        <f aca="false">cp_recap!C4</f>
        <v>1kg</v>
      </c>
      <c r="T21" s="27" t="n">
        <f aca="false">cp_recap!D4</f>
        <v>0</v>
      </c>
      <c r="U21" s="28"/>
      <c r="V21" s="29" t="n">
        <v>1180</v>
      </c>
    </row>
    <row r="22" customFormat="false" ht="24.95" hidden="false" customHeight="true" outlineLevel="0" collapsed="false">
      <c r="O22" s="23"/>
      <c r="P22" s="24"/>
      <c r="Q22" s="25"/>
      <c r="R22" s="19" t="str">
        <f aca="false">cp_recap!B5</f>
        <v>batard</v>
      </c>
      <c r="S22" s="20" t="str">
        <f aca="false">cp_recap!C5</f>
        <v>1-5kg</v>
      </c>
      <c r="T22" s="20" t="n">
        <f aca="false">cp_recap!D5</f>
        <v>0</v>
      </c>
      <c r="U22" s="21"/>
      <c r="V22" s="22" t="n">
        <v>1800</v>
      </c>
    </row>
    <row r="23" customFormat="false" ht="24.95" hidden="false" customHeight="true" outlineLevel="0" collapsed="false">
      <c r="O23" s="23"/>
      <c r="P23" s="24"/>
      <c r="Q23" s="25"/>
      <c r="R23" s="26" t="str">
        <f aca="false">cp_recap!B6</f>
        <v>moule</v>
      </c>
      <c r="S23" s="27" t="str">
        <f aca="false">cp_recap!C6</f>
        <v>600g</v>
      </c>
      <c r="T23" s="27" t="n">
        <f aca="false">cp_recap!D6</f>
        <v>0</v>
      </c>
      <c r="U23" s="28"/>
      <c r="V23" s="29" t="n">
        <v>700</v>
      </c>
    </row>
    <row r="24" customFormat="false" ht="24.95" hidden="false" customHeight="true" outlineLevel="0" collapsed="false">
      <c r="O24" s="23"/>
      <c r="P24" s="24"/>
      <c r="Q24" s="25"/>
      <c r="R24" s="19" t="str">
        <f aca="false">cp_recap!B7</f>
        <v>moule</v>
      </c>
      <c r="S24" s="20" t="str">
        <f aca="false">cp_recap!C7</f>
        <v>800g</v>
      </c>
      <c r="T24" s="20" t="n">
        <f aca="false">cp_recap!D7</f>
        <v>0</v>
      </c>
      <c r="U24" s="21"/>
      <c r="V24" s="22" t="n">
        <v>900</v>
      </c>
    </row>
    <row r="25" customFormat="false" ht="24.95" hidden="false" customHeight="true" outlineLevel="0" collapsed="false">
      <c r="O25" s="30"/>
      <c r="P25" s="31"/>
      <c r="Q25" s="32"/>
      <c r="R25" s="26" t="str">
        <f aca="false">cp_recap!B8</f>
        <v>moule</v>
      </c>
      <c r="S25" s="27" t="str">
        <f aca="false">cp_recap!C8</f>
        <v>1kg</v>
      </c>
      <c r="T25" s="27" t="n">
        <f aca="false">cp_recap!D8</f>
        <v>0</v>
      </c>
      <c r="U25" s="28"/>
      <c r="V25" s="29" t="n">
        <v>1180</v>
      </c>
    </row>
    <row r="26" customFormat="false" ht="24.95" hidden="false" customHeight="true" outlineLevel="0" collapsed="false">
      <c r="O26" s="16" t="str">
        <f aca="false">cp_recap!A9</f>
        <v>Tournesol Toasté</v>
      </c>
      <c r="P26" s="17"/>
      <c r="Q26" s="33"/>
      <c r="R26" s="19" t="str">
        <f aca="false">cp_recap!B9</f>
        <v>moule</v>
      </c>
      <c r="S26" s="20" t="str">
        <f aca="false">cp_recap!C9</f>
        <v>520g</v>
      </c>
      <c r="T26" s="20" t="n">
        <f aca="false">cp_recap!D9</f>
        <v>0</v>
      </c>
      <c r="U26" s="21"/>
      <c r="V26" s="22" t="n">
        <v>600</v>
      </c>
    </row>
    <row r="27" customFormat="false" ht="24.95" hidden="false" customHeight="true" outlineLevel="0" collapsed="false">
      <c r="O27" s="30"/>
      <c r="P27" s="31"/>
      <c r="Q27" s="34"/>
      <c r="R27" s="26" t="str">
        <f aca="false">cp_recap!B10</f>
        <v>batard</v>
      </c>
      <c r="S27" s="27" t="str">
        <f aca="false">cp_recap!C10</f>
        <v>520g</v>
      </c>
      <c r="T27" s="27" t="n">
        <f aca="false">cp_recap!D10</f>
        <v>0</v>
      </c>
      <c r="U27" s="28"/>
      <c r="V27" s="29" t="n">
        <v>600</v>
      </c>
    </row>
    <row r="28" customFormat="false" ht="24.95" hidden="false" customHeight="true" outlineLevel="0" collapsed="false">
      <c r="O28" s="16" t="str">
        <f aca="false">cp_recap!A11</f>
        <v>Pain de mie végé</v>
      </c>
      <c r="P28" s="17"/>
      <c r="Q28" s="33"/>
      <c r="R28" s="19" t="str">
        <f aca="false">cp_recap!B11</f>
        <v>500g</v>
      </c>
      <c r="S28" s="20" t="n">
        <f aca="false">cp_recap!C11</f>
        <v>0</v>
      </c>
      <c r="T28" s="20" t="n">
        <f aca="false">cp_recap!D11</f>
        <v>0</v>
      </c>
      <c r="U28" s="21"/>
      <c r="V28" s="22" t="n">
        <v>570</v>
      </c>
    </row>
    <row r="29" customFormat="false" ht="24.95" hidden="false" customHeight="true" outlineLevel="0" collapsed="false">
      <c r="O29" s="23"/>
      <c r="P29" s="24"/>
      <c r="Q29" s="35"/>
      <c r="R29" s="26" t="str">
        <f aca="false">cp_recap!B12</f>
        <v>1kg</v>
      </c>
      <c r="S29" s="27" t="n">
        <f aca="false">cp_recap!C12</f>
        <v>0</v>
      </c>
      <c r="T29" s="27" t="n">
        <f aca="false">cp_recap!D12</f>
        <v>0</v>
      </c>
      <c r="U29" s="28"/>
      <c r="V29" s="29" t="n">
        <v>1180</v>
      </c>
    </row>
    <row r="30" customFormat="false" ht="24.95" hidden="false" customHeight="true" outlineLevel="0" collapsed="false">
      <c r="O30" s="30"/>
      <c r="P30" s="31"/>
      <c r="Q30" s="34"/>
      <c r="R30" s="19" t="str">
        <f aca="false">cp_recap!B13</f>
        <v>1-5kg</v>
      </c>
      <c r="S30" s="20" t="n">
        <f aca="false">cp_recap!C13</f>
        <v>0</v>
      </c>
      <c r="T30" s="20" t="n">
        <f aca="false">cp_recap!D13</f>
        <v>0</v>
      </c>
      <c r="U30" s="21"/>
      <c r="V30" s="22" t="n">
        <v>1650</v>
      </c>
    </row>
    <row r="31" customFormat="false" ht="24.95" hidden="false" customHeight="true" outlineLevel="0" collapsed="false">
      <c r="O31" s="16" t="str">
        <f aca="false">cp_recap!A14</f>
        <v>Moulé Petit Epeautre</v>
      </c>
      <c r="P31" s="17"/>
      <c r="Q31" s="33"/>
      <c r="R31" s="26" t="str">
        <f aca="false">cp_recap!B14</f>
        <v>300g</v>
      </c>
      <c r="S31" s="27" t="n">
        <f aca="false">cp_recap!C14</f>
        <v>0</v>
      </c>
      <c r="T31" s="27" t="n">
        <f aca="false">cp_recap!D14</f>
        <v>0</v>
      </c>
      <c r="U31" s="28"/>
      <c r="V31" s="29" t="n">
        <v>350</v>
      </c>
    </row>
    <row r="32" customFormat="false" ht="24.95" hidden="false" customHeight="true" outlineLevel="0" collapsed="false">
      <c r="O32" s="23"/>
      <c r="P32" s="24"/>
      <c r="Q32" s="35"/>
      <c r="R32" s="19" t="str">
        <f aca="false">cp_recap!B15</f>
        <v>600g</v>
      </c>
      <c r="S32" s="20" t="n">
        <f aca="false">cp_recap!C15</f>
        <v>0</v>
      </c>
      <c r="T32" s="20" t="n">
        <f aca="false">cp_recap!D15</f>
        <v>0</v>
      </c>
      <c r="U32" s="21"/>
      <c r="V32" s="22" t="n">
        <v>700</v>
      </c>
    </row>
    <row r="33" customFormat="false" ht="24.95" hidden="false" customHeight="true" outlineLevel="0" collapsed="false">
      <c r="O33" s="30"/>
      <c r="P33" s="31"/>
      <c r="Q33" s="34"/>
      <c r="R33" s="26" t="str">
        <f aca="false">cp_recap!B16</f>
        <v>1kg</v>
      </c>
      <c r="S33" s="27" t="n">
        <f aca="false">cp_recap!C16</f>
        <v>0</v>
      </c>
      <c r="T33" s="27" t="n">
        <f aca="false">cp_recap!D16</f>
        <v>0</v>
      </c>
      <c r="U33" s="28"/>
      <c r="V33" s="29" t="n">
        <v>1180</v>
      </c>
    </row>
    <row r="34" customFormat="false" ht="24.95" hidden="false" customHeight="true" outlineLevel="0" collapsed="false">
      <c r="O34" s="16" t="str">
        <f aca="false">cp_recap!A17</f>
        <v>Semi complet Nature</v>
      </c>
      <c r="P34" s="17"/>
      <c r="Q34" s="33"/>
      <c r="R34" s="19" t="str">
        <f aca="false">cp_recap!B17</f>
        <v>batard</v>
      </c>
      <c r="S34" s="20" t="str">
        <f aca="false">cp_recap!C17</f>
        <v>520g</v>
      </c>
      <c r="T34" s="20" t="n">
        <f aca="false">cp_recap!D17</f>
        <v>0</v>
      </c>
      <c r="U34" s="21"/>
      <c r="V34" s="22" t="n">
        <v>600</v>
      </c>
    </row>
    <row r="35" customFormat="false" ht="24.95" hidden="false" customHeight="true" outlineLevel="0" collapsed="false">
      <c r="O35" s="23"/>
      <c r="P35" s="24"/>
      <c r="Q35" s="35"/>
      <c r="R35" s="26" t="str">
        <f aca="false">cp_recap!B18</f>
        <v>batard</v>
      </c>
      <c r="S35" s="27" t="str">
        <f aca="false">cp_recap!C18</f>
        <v>1kg</v>
      </c>
      <c r="T35" s="27" t="n">
        <f aca="false">cp_recap!D18</f>
        <v>0</v>
      </c>
      <c r="U35" s="28"/>
      <c r="V35" s="29" t="n">
        <v>1180</v>
      </c>
    </row>
    <row r="36" customFormat="false" ht="24.95" hidden="false" customHeight="true" outlineLevel="0" collapsed="false">
      <c r="O36" s="23"/>
      <c r="P36" s="24"/>
      <c r="Q36" s="35"/>
      <c r="R36" s="19" t="str">
        <f aca="false">cp_recap!B19</f>
        <v>batard</v>
      </c>
      <c r="S36" s="20" t="str">
        <f aca="false">cp_recap!C19</f>
        <v>1-5kg</v>
      </c>
      <c r="T36" s="20" t="n">
        <f aca="false">cp_recap!D19</f>
        <v>0</v>
      </c>
      <c r="U36" s="21"/>
      <c r="V36" s="22" t="n">
        <v>1800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26" t="str">
        <f aca="false">cp_recap!B20</f>
        <v>moule</v>
      </c>
      <c r="S37" s="27" t="str">
        <f aca="false">cp_recap!C20</f>
        <v>520g</v>
      </c>
      <c r="T37" s="27" t="n">
        <f aca="false">cp_recap!D20</f>
        <v>0</v>
      </c>
      <c r="U37" s="28"/>
      <c r="V37" s="29" t="n">
        <v>600</v>
      </c>
    </row>
    <row r="38" customFormat="false" ht="24.95" hidden="false" customHeight="true" outlineLevel="0" collapsed="false">
      <c r="H38" s="36"/>
      <c r="K38" s="37"/>
      <c r="O38" s="23"/>
      <c r="P38" s="24"/>
      <c r="Q38" s="35"/>
      <c r="R38" s="19" t="str">
        <f aca="false">cp_recap!B21</f>
        <v>moule</v>
      </c>
      <c r="S38" s="20" t="str">
        <f aca="false">cp_recap!C21</f>
        <v>800g</v>
      </c>
      <c r="T38" s="20" t="n">
        <f aca="false">cp_recap!D21</f>
        <v>0</v>
      </c>
      <c r="U38" s="21"/>
      <c r="V38" s="22" t="n">
        <v>900</v>
      </c>
    </row>
    <row r="39" customFormat="false" ht="24.95" hidden="false" customHeight="true" outlineLevel="0" collapsed="false">
      <c r="H39" s="36"/>
      <c r="K39" s="37"/>
      <c r="O39" s="30"/>
      <c r="P39" s="31"/>
      <c r="Q39" s="34"/>
      <c r="R39" s="26" t="str">
        <f aca="false">cp_recap!B22</f>
        <v>moule</v>
      </c>
      <c r="S39" s="27" t="str">
        <f aca="false">cp_recap!C22</f>
        <v>1kg</v>
      </c>
      <c r="T39" s="27" t="n">
        <f aca="false">cp_recap!D22</f>
        <v>0</v>
      </c>
      <c r="U39" s="28"/>
      <c r="V39" s="29" t="n">
        <v>1180</v>
      </c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  <c r="K41" s="37"/>
    </row>
    <row r="42" customFormat="false" ht="13.5" hidden="false" customHeight="true" outlineLevel="0" collapsed="false">
      <c r="H42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D14" activeCellId="0" sqref="D14:D19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25</v>
      </c>
    </row>
    <row r="2" customFormat="false" ht="14.25" hidden="false" customHeight="true" outlineLevel="0" collapsed="false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</row>
    <row r="3" customFormat="false" ht="13.5" hidden="false" customHeight="true" outlineLevel="0" collapsed="false">
      <c r="A3" s="1" t="s">
        <v>31</v>
      </c>
      <c r="B3" s="1" t="s">
        <v>32</v>
      </c>
      <c r="C3" s="1" t="s">
        <v>33</v>
      </c>
      <c r="E3" s="1" t="n">
        <f aca="false">D3*0.6</f>
        <v>0</v>
      </c>
    </row>
    <row r="4" customFormat="false" ht="13.5" hidden="false" customHeight="true" outlineLevel="0" collapsed="false">
      <c r="A4" s="1" t="s">
        <v>31</v>
      </c>
      <c r="B4" s="1" t="s">
        <v>32</v>
      </c>
      <c r="C4" s="1" t="s">
        <v>34</v>
      </c>
      <c r="E4" s="1" t="n">
        <f aca="false">D4*1</f>
        <v>0</v>
      </c>
    </row>
    <row r="5" customFormat="false" ht="13.5" hidden="false" customHeight="true" outlineLevel="0" collapsed="false">
      <c r="A5" s="1" t="s">
        <v>31</v>
      </c>
      <c r="B5" s="1" t="s">
        <v>32</v>
      </c>
      <c r="C5" s="1" t="s">
        <v>35</v>
      </c>
      <c r="E5" s="1" t="n">
        <f aca="false">D5*1.5</f>
        <v>0</v>
      </c>
    </row>
    <row r="6" customFormat="false" ht="13.5" hidden="false" customHeight="true" outlineLevel="0" collapsed="false">
      <c r="A6" s="1" t="s">
        <v>31</v>
      </c>
      <c r="B6" s="1" t="s">
        <v>36</v>
      </c>
      <c r="C6" s="1" t="s">
        <v>33</v>
      </c>
      <c r="E6" s="1" t="n">
        <f aca="false">D6*0.6</f>
        <v>0</v>
      </c>
    </row>
    <row r="7" customFormat="false" ht="13.5" hidden="false" customHeight="true" outlineLevel="0" collapsed="false">
      <c r="A7" s="1" t="s">
        <v>31</v>
      </c>
      <c r="B7" s="1" t="s">
        <v>36</v>
      </c>
      <c r="C7" s="1" t="s">
        <v>37</v>
      </c>
      <c r="E7" s="1" t="n">
        <f aca="false">D7*0.8</f>
        <v>0</v>
      </c>
    </row>
    <row r="8" customFormat="false" ht="13.5" hidden="false" customHeight="true" outlineLevel="0" collapsed="false">
      <c r="A8" s="1" t="s">
        <v>31</v>
      </c>
      <c r="B8" s="1" t="s">
        <v>36</v>
      </c>
      <c r="C8" s="1" t="s">
        <v>34</v>
      </c>
      <c r="E8" s="1" t="n">
        <f aca="false">D8*1</f>
        <v>0</v>
      </c>
    </row>
    <row r="9" customFormat="false" ht="13.5" hidden="false" customHeight="true" outlineLevel="0" collapsed="false">
      <c r="A9" s="1" t="s">
        <v>38</v>
      </c>
      <c r="B9" s="1" t="s">
        <v>36</v>
      </c>
      <c r="C9" s="1" t="s">
        <v>39</v>
      </c>
      <c r="E9" s="1" t="n">
        <f aca="false">D9*0.52</f>
        <v>0</v>
      </c>
    </row>
    <row r="10" customFormat="false" ht="13.5" hidden="false" customHeight="true" outlineLevel="0" collapsed="false">
      <c r="A10" s="1" t="s">
        <v>38</v>
      </c>
      <c r="B10" s="1" t="s">
        <v>32</v>
      </c>
      <c r="C10" s="1" t="s">
        <v>39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40</v>
      </c>
      <c r="B11" s="1" t="s">
        <v>41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40</v>
      </c>
      <c r="B12" s="1" t="s">
        <v>34</v>
      </c>
      <c r="E12" s="1" t="n">
        <f aca="false">D12*1</f>
        <v>0</v>
      </c>
    </row>
    <row r="13" customFormat="false" ht="13.5" hidden="false" customHeight="true" outlineLevel="0" collapsed="false">
      <c r="A13" s="1" t="s">
        <v>40</v>
      </c>
      <c r="B13" s="1" t="s">
        <v>35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42</v>
      </c>
      <c r="B14" s="1" t="s">
        <v>43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42</v>
      </c>
      <c r="B15" s="1" t="s">
        <v>33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42</v>
      </c>
      <c r="B16" s="1" t="s">
        <v>34</v>
      </c>
      <c r="E16" s="1" t="n">
        <f aca="false">D16*1</f>
        <v>0</v>
      </c>
    </row>
    <row r="17" customFormat="false" ht="14.25" hidden="false" customHeight="true" outlineLevel="0" collapsed="false">
      <c r="A17" s="1" t="s">
        <v>44</v>
      </c>
      <c r="B17" s="1" t="s">
        <v>32</v>
      </c>
      <c r="C17" s="1" t="s">
        <v>39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44</v>
      </c>
      <c r="B18" s="1" t="s">
        <v>32</v>
      </c>
      <c r="C18" s="1" t="s">
        <v>34</v>
      </c>
      <c r="E18" s="1" t="n">
        <f aca="false">D18*1</f>
        <v>0</v>
      </c>
    </row>
    <row r="19" customFormat="false" ht="13.5" hidden="false" customHeight="true" outlineLevel="0" collapsed="false">
      <c r="A19" s="1" t="s">
        <v>44</v>
      </c>
      <c r="B19" s="1" t="s">
        <v>32</v>
      </c>
      <c r="C19" s="1" t="s">
        <v>35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44</v>
      </c>
      <c r="B20" s="1" t="s">
        <v>36</v>
      </c>
      <c r="C20" s="1" t="s">
        <v>39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44</v>
      </c>
      <c r="B21" s="1" t="s">
        <v>36</v>
      </c>
      <c r="C21" s="1" t="s">
        <v>37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44</v>
      </c>
      <c r="B22" s="1" t="s">
        <v>36</v>
      </c>
      <c r="C22" s="1" t="s">
        <v>34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I25" activeCellId="1" sqref="D14:D19 I25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45</v>
      </c>
      <c r="C1" s="1" t="s">
        <v>46</v>
      </c>
      <c r="D1" s="1" t="s">
        <v>1</v>
      </c>
      <c r="E1" s="1" t="s">
        <v>2</v>
      </c>
      <c r="G1" s="1" t="s">
        <v>47</v>
      </c>
      <c r="H1" s="1" t="s">
        <v>48</v>
      </c>
      <c r="I1" s="38" t="s">
        <v>49</v>
      </c>
      <c r="K1" s="1" t="s">
        <v>50</v>
      </c>
      <c r="L1" s="1" t="s">
        <v>51</v>
      </c>
      <c r="Q1" s="1" t="n">
        <f aca="false">685*I2/650</f>
        <v>0</v>
      </c>
      <c r="T1" s="38" t="s">
        <v>45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0</v>
      </c>
      <c r="L2" s="1" t="n">
        <f aca="false">cp_recap!D20*1000</f>
        <v>0</v>
      </c>
      <c r="N2" s="1" t="s">
        <v>52</v>
      </c>
      <c r="O2" s="1" t="n">
        <f aca="false">B2+C2+E2+I6+K2</f>
        <v>0</v>
      </c>
      <c r="T2" s="38" t="n">
        <v>4250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53</v>
      </c>
      <c r="O3" s="1" t="n">
        <f aca="false">SUM(cp_recap!E3:E22)*1000</f>
        <v>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54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693*I2/650</f>
        <v>0</v>
      </c>
      <c r="J5" s="38" t="s">
        <v>55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56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57</v>
      </c>
      <c r="K6" s="40" t="n">
        <f aca="false">$K$2/$O$19*O23</f>
        <v>0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</f>
        <v>0</v>
      </c>
      <c r="J7" s="38" t="s">
        <v>6</v>
      </c>
      <c r="K7" s="40" t="n">
        <f aca="false">$K$2/$O$19*O24</f>
        <v>0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58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0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0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57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57</v>
      </c>
      <c r="I10" s="42"/>
      <c r="J10" s="1" t="s">
        <v>10</v>
      </c>
      <c r="K10" s="40" t="n">
        <f aca="false">$K$2/$O$19*O28</f>
        <v>0</v>
      </c>
      <c r="L10" s="40" t="n">
        <f aca="false">$L$2/$P$19*P27</f>
        <v>0</v>
      </c>
      <c r="M10" s="1" t="s">
        <v>57</v>
      </c>
      <c r="T10" s="41"/>
      <c r="U10" s="41"/>
    </row>
    <row r="11" customFormat="false" ht="14.25" hidden="false" customHeight="true" outlineLevel="0" collapsed="false">
      <c r="A11" s="1" t="s">
        <v>59</v>
      </c>
      <c r="B11" s="45" t="e">
        <f aca="false">(B7)/(B5+B6)</f>
        <v>#DIV/0!</v>
      </c>
      <c r="D11" s="44" t="s">
        <v>60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0</v>
      </c>
      <c r="T11" s="41"/>
      <c r="U11" s="41"/>
    </row>
    <row r="12" customFormat="false" ht="14.25" hidden="false" customHeight="true" outlineLevel="0" collapsed="false">
      <c r="D12" s="44" t="s">
        <v>61</v>
      </c>
      <c r="E12" s="40"/>
      <c r="F12" s="40"/>
      <c r="I12" s="38"/>
      <c r="J12" s="1" t="s">
        <v>12</v>
      </c>
      <c r="K12" s="40" t="n">
        <f aca="false">$K$2/$O$19*O31</f>
        <v>0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62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63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0</v>
      </c>
      <c r="L15" s="40" t="n">
        <f aca="false">SUM(L4:L14)</f>
        <v>0</v>
      </c>
      <c r="M15" s="47" t="s">
        <v>64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65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66</v>
      </c>
      <c r="C18" s="1" t="s">
        <v>67</v>
      </c>
      <c r="D18" s="48" t="s">
        <v>68</v>
      </c>
      <c r="E18" s="1" t="s">
        <v>69</v>
      </c>
      <c r="G18" s="1" t="s">
        <v>70</v>
      </c>
      <c r="H18" s="1" t="s">
        <v>71</v>
      </c>
      <c r="I18" s="38" t="s">
        <v>72</v>
      </c>
      <c r="J18" s="48" t="s">
        <v>73</v>
      </c>
      <c r="K18" s="1" t="s">
        <v>74</v>
      </c>
      <c r="L18" s="48" t="s">
        <v>75</v>
      </c>
      <c r="M18" s="1" t="s">
        <v>76</v>
      </c>
      <c r="N18" s="1" t="s">
        <v>77</v>
      </c>
      <c r="O18" s="38" t="s">
        <v>50</v>
      </c>
      <c r="P18" s="1" t="s">
        <v>78</v>
      </c>
      <c r="S18" s="1" t="s">
        <v>79</v>
      </c>
      <c r="V18" s="1" t="s">
        <v>80</v>
      </c>
    </row>
    <row r="19" customFormat="false" ht="14.25" hidden="false" customHeight="true" outlineLevel="0" collapsed="false">
      <c r="A19" s="1" t="s">
        <v>81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f aca="false">1896*1.02</f>
        <v>1933.92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v>940</v>
      </c>
      <c r="P19" s="1" t="n">
        <v>760</v>
      </c>
      <c r="S19" s="1" t="s">
        <v>82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83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646</v>
      </c>
      <c r="P20" s="1" t="n">
        <f aca="false">SUM(P21:P23)</f>
        <v>363</v>
      </c>
      <c r="S20" s="1" t="s">
        <v>84</v>
      </c>
      <c r="T20" s="1" t="n">
        <v>1000</v>
      </c>
    </row>
    <row r="21" customFormat="false" ht="14.25" hidden="false" customHeight="true" outlineLevel="0" collapsed="false">
      <c r="A21" s="1" t="s">
        <v>85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85</v>
      </c>
      <c r="S21" s="1" t="s">
        <v>86</v>
      </c>
      <c r="T21" s="1" t="n">
        <v>3</v>
      </c>
      <c r="W21" s="1"/>
    </row>
    <row r="22" customFormat="false" ht="14.25" hidden="false" customHeight="true" outlineLevel="0" collapsed="false">
      <c r="A22" s="1" t="s">
        <v>54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S22" s="1" t="s">
        <v>60</v>
      </c>
      <c r="T22" s="1" t="n">
        <v>50</v>
      </c>
      <c r="W22" s="1"/>
    </row>
    <row r="23" customFormat="false" ht="14.25" hidden="false" customHeight="true" outlineLevel="0" collapsed="false">
      <c r="A23" s="1" t="s">
        <v>56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v>646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</f>
        <v>164.85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53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42" t="n">
        <f aca="false">O23/1000*1</f>
        <v>0.646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3"/>
      <c r="T26" s="53"/>
      <c r="U26" s="53"/>
    </row>
    <row r="27" customFormat="false" ht="14.25" hidden="false" customHeight="true" outlineLevel="0" collapsed="false">
      <c r="A27" s="1" t="s">
        <v>57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3"/>
      <c r="T27" s="53"/>
      <c r="U27" s="53"/>
    </row>
    <row r="28" customFormat="false" ht="14.25" hidden="false" customHeight="true" outlineLevel="0" collapsed="false">
      <c r="A28" s="1" t="s">
        <v>60</v>
      </c>
      <c r="B28" s="40"/>
      <c r="D28" s="48"/>
      <c r="I28" s="38"/>
      <c r="J28" s="48"/>
      <c r="L28" s="48"/>
      <c r="M28" s="1" t="n">
        <v>50</v>
      </c>
      <c r="O28" s="38" t="n">
        <v>43</v>
      </c>
      <c r="S28" s="53"/>
      <c r="T28" s="53"/>
      <c r="U28" s="53"/>
    </row>
    <row r="29" customFormat="false" ht="14.25" hidden="false" customHeight="true" outlineLevel="0" collapsed="false">
      <c r="A29" s="1" t="s">
        <v>61</v>
      </c>
      <c r="B29" s="40"/>
      <c r="D29" s="48"/>
      <c r="I29" s="38"/>
      <c r="J29" s="48"/>
      <c r="L29" s="48"/>
      <c r="M29" s="1" t="n">
        <v>40</v>
      </c>
      <c r="O29" s="38"/>
      <c r="S29" s="53"/>
      <c r="T29" s="53"/>
      <c r="U29" s="53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3"/>
      <c r="T30" s="53"/>
      <c r="U30" s="53"/>
    </row>
    <row r="31" customFormat="false" ht="14.25" hidden="false" customHeight="true" outlineLevel="0" collapsed="false">
      <c r="A31" s="1" t="s">
        <v>87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3"/>
      <c r="T31" s="53"/>
      <c r="U31" s="53"/>
    </row>
    <row r="32" customFormat="false" ht="14.25" hidden="false" customHeight="true" outlineLevel="0" collapsed="false">
      <c r="A32" s="1" t="s">
        <v>88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2314.94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3"/>
    </row>
    <row r="33" customFormat="false" ht="14.25" hidden="false" customHeight="true" outlineLevel="0" collapsed="false">
      <c r="A33" s="1" t="s">
        <v>89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4" t="n">
        <f aca="false">(0.5*E25+E24)/(E20+E25*0.5)</f>
        <v>0.62212389380531</v>
      </c>
      <c r="F33" s="54"/>
      <c r="G33" s="54" t="n">
        <f aca="false">(0.5*G25+G24)/(G20+G25*0.5)</f>
        <v>0.690265486725664</v>
      </c>
      <c r="H33" s="54" t="n">
        <f aca="false">(0.5*H25+H24)/(H20+H25*0.5)</f>
        <v>0.654867256637168</v>
      </c>
      <c r="I33" s="55" t="n">
        <f aca="false">(0.5*I25+I24)/(I20+I25*0.5)</f>
        <v>0.686558942343004</v>
      </c>
      <c r="J33" s="56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4"/>
      <c r="N33" s="54"/>
      <c r="O33" s="38"/>
      <c r="P33" s="37" t="n">
        <f aca="false">(0.5*P25+P24)/(P20+P25*0.5)</f>
        <v>0.917695473251029</v>
      </c>
      <c r="T33" s="1"/>
      <c r="V33" s="53"/>
    </row>
    <row r="34" customFormat="false" ht="14.25" hidden="false" customHeight="true" outlineLevel="0" collapsed="false">
      <c r="A34" s="1" t="s">
        <v>90</v>
      </c>
      <c r="B34" s="54" t="n">
        <f aca="false">(B25/2+B22)/B20</f>
        <v>0.147368421052632</v>
      </c>
      <c r="C34" s="45" t="n">
        <f aca="false">(C25/2+C22)/C20</f>
        <v>0.147368421052632</v>
      </c>
      <c r="D34" s="56" t="n">
        <f aca="false">(D25/2+D22)/D20</f>
        <v>0.144804088586031</v>
      </c>
      <c r="E34" s="54" t="n">
        <f aca="false">(E25/2+E22)/E20</f>
        <v>0.15</v>
      </c>
      <c r="F34" s="54"/>
      <c r="G34" s="54" t="n">
        <f aca="false">(G25/2+G22)/G20</f>
        <v>0.15</v>
      </c>
      <c r="H34" s="54" t="n">
        <f aca="false">(H25/2+H22)/H20</f>
        <v>0.15</v>
      </c>
      <c r="I34" s="55" t="n">
        <f aca="false">(I25/2+I22)/I20</f>
        <v>0.0198501872659176</v>
      </c>
      <c r="J34" s="56" t="n">
        <f aca="false">(J25/2+J22)/J20</f>
        <v>0.00396825396825397</v>
      </c>
      <c r="K34" s="45" t="n">
        <f aca="false">(K25/2+K22)/K20</f>
        <v>0.15</v>
      </c>
      <c r="L34" s="56" t="n">
        <f aca="false">(L25/2+L22)/L20</f>
        <v>0.147368421052632</v>
      </c>
      <c r="M34" s="45"/>
      <c r="N34" s="45"/>
      <c r="O34" s="38"/>
      <c r="V34" s="53"/>
    </row>
    <row r="35" customFormat="false" ht="14.25" hidden="false" customHeight="true" outlineLevel="0" collapsed="false">
      <c r="A35" s="1" t="s">
        <v>91</v>
      </c>
      <c r="B35" s="54" t="n">
        <f aca="false">B25/B20</f>
        <v>0.22406015037594</v>
      </c>
      <c r="C35" s="54" t="n">
        <f aca="false">C25/C20</f>
        <v>0.22406015037594</v>
      </c>
      <c r="D35" s="57" t="n">
        <f aca="false">D25/D20</f>
        <v>0.212947189097104</v>
      </c>
      <c r="E35" s="54" t="n">
        <f aca="false">E25/E20</f>
        <v>0.26</v>
      </c>
      <c r="F35" s="54"/>
      <c r="G35" s="54" t="n">
        <f aca="false">G25/G20</f>
        <v>0.26</v>
      </c>
      <c r="H35" s="54" t="n">
        <f aca="false">H25/H20</f>
        <v>0.26</v>
      </c>
      <c r="I35" s="58" t="n">
        <f aca="false">I25/I20</f>
        <v>0.0397003745318352</v>
      </c>
      <c r="J35" s="56" t="n">
        <f aca="false">J25/J20</f>
        <v>0.00793650793650794</v>
      </c>
      <c r="K35" s="45" t="n">
        <f aca="false">K25/K20</f>
        <v>0.00793650793650794</v>
      </c>
      <c r="L35" s="56" t="n">
        <f aca="false">L25/L20</f>
        <v>0.22406015037594</v>
      </c>
      <c r="M35" s="54"/>
      <c r="N35" s="54"/>
      <c r="O35" s="38"/>
      <c r="V35" s="53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4"/>
      <c r="D37" s="54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92</v>
      </c>
      <c r="G39" s="1" t="s">
        <v>93</v>
      </c>
    </row>
    <row r="40" customFormat="false" ht="13.5" hidden="false" customHeight="true" outlineLevel="0" collapsed="false">
      <c r="B40" s="1" t="s">
        <v>94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95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96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97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46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85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1" sqref="D14:D19 M11"/>
    </sheetView>
  </sheetViews>
  <sheetFormatPr defaultColWidth="8.59765625" defaultRowHeight="15.6" zeroHeight="false" outlineLevelRow="0" outlineLevelCol="0"/>
  <cols>
    <col collapsed="false" customWidth="true" hidden="false" outlineLevel="0" max="1" min="1" style="59" width="8.45"/>
    <col collapsed="false" customWidth="true" hidden="false" outlineLevel="0" max="2" min="2" style="59" width="20.22"/>
    <col collapsed="false" customWidth="true" hidden="false" outlineLevel="0" max="3" min="3" style="59" width="2.47"/>
    <col collapsed="false" customWidth="true" hidden="false" outlineLevel="0" max="4" min="4" style="59" width="22.58"/>
    <col collapsed="false" customWidth="false" hidden="false" outlineLevel="0" max="5" min="5" style="59" width="8.59"/>
    <col collapsed="false" customWidth="true" hidden="false" outlineLevel="0" max="6" min="6" style="59" width="6"/>
    <col collapsed="false" customWidth="false" hidden="false" outlineLevel="0" max="9" min="7" style="59" width="8.59"/>
    <col collapsed="false" customWidth="true" hidden="false" outlineLevel="0" max="10" min="10" style="59" width="5.18"/>
  </cols>
  <sheetData>
    <row r="2" customFormat="false" ht="15.6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</row>
    <row r="3" customFormat="false" ht="15.6" hidden="false" customHeight="true" outlineLevel="0" collapsed="false">
      <c r="A3" s="60"/>
      <c r="B3" s="60"/>
      <c r="J3" s="60"/>
    </row>
    <row r="4" customFormat="false" ht="15.6" hidden="false" customHeight="true" outlineLevel="0" collapsed="false">
      <c r="A4" s="60"/>
      <c r="B4" s="60"/>
      <c r="C4" s="60"/>
      <c r="D4" s="60"/>
      <c r="E4" s="60"/>
      <c r="F4" s="60"/>
      <c r="G4" s="60"/>
      <c r="H4" s="60"/>
      <c r="I4" s="60"/>
      <c r="J4" s="60"/>
    </row>
    <row r="5" customFormat="false" ht="15.6" hidden="false" customHeight="true" outlineLevel="0" collapsed="false">
      <c r="A5" s="60"/>
      <c r="B5" s="60"/>
      <c r="C5" s="60"/>
      <c r="D5" s="60"/>
      <c r="E5" s="60"/>
      <c r="F5" s="60"/>
      <c r="G5" s="60"/>
      <c r="H5" s="60"/>
      <c r="I5" s="60"/>
      <c r="J5" s="60"/>
    </row>
    <row r="6" customFormat="false" ht="15.6" hidden="false" customHeight="true" outlineLevel="0" collapsed="false">
      <c r="A6" s="60"/>
      <c r="B6" s="60"/>
      <c r="J6" s="60"/>
    </row>
    <row r="7" customFormat="false" ht="15.6" hidden="false" customHeight="true" outlineLevel="0" collapsed="false">
      <c r="A7" s="60"/>
      <c r="B7" s="60"/>
      <c r="C7" s="60"/>
      <c r="D7" s="60"/>
      <c r="E7" s="60"/>
      <c r="F7" s="60"/>
      <c r="G7" s="60"/>
      <c r="H7" s="60"/>
      <c r="I7" s="60"/>
      <c r="J7" s="60"/>
    </row>
    <row r="8" customFormat="false" ht="15.6" hidden="false" customHeight="true" outlineLevel="0" collapsed="false">
      <c r="A8" s="60"/>
      <c r="B8" s="60"/>
      <c r="J8" s="60"/>
    </row>
    <row r="9" customFormat="false" ht="15.6" hidden="false" customHeight="true" outlineLevel="0" collapsed="false">
      <c r="A9" s="60"/>
      <c r="B9" s="60"/>
      <c r="C9" s="60"/>
      <c r="D9" s="60"/>
      <c r="E9" s="60"/>
      <c r="F9" s="60"/>
      <c r="G9" s="60"/>
      <c r="H9" s="60"/>
      <c r="I9" s="60"/>
      <c r="J9" s="60"/>
    </row>
    <row r="10" customFormat="false" ht="15.6" hidden="false" customHeight="true" outlineLevel="0" collapsed="false">
      <c r="A10" s="60"/>
      <c r="B10" s="60"/>
      <c r="J10" s="60"/>
    </row>
    <row r="11" customFormat="false" ht="15.6" hidden="false" customHeight="true" outlineLevel="0" collapsed="false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customFormat="false" ht="15.6" hidden="false" customHeight="true" outlineLevel="0" collapsed="false">
      <c r="A12" s="60"/>
      <c r="B12" s="60"/>
      <c r="J12" s="60"/>
    </row>
    <row r="13" customFormat="false" ht="15.6" hidden="false" customHeight="true" outlineLevel="0" collapsed="false">
      <c r="A13" s="60"/>
      <c r="B13" s="60"/>
      <c r="J13" s="60"/>
    </row>
    <row r="14" customFormat="false" ht="15.6" hidden="false" customHeight="true" outlineLevel="0" collapsed="false">
      <c r="A14" s="60"/>
      <c r="B14" s="60"/>
      <c r="C14" s="60"/>
      <c r="D14" s="60"/>
      <c r="E14" s="60"/>
      <c r="F14" s="60"/>
      <c r="G14" s="60"/>
      <c r="H14" s="60"/>
      <c r="I14" s="60"/>
      <c r="J14" s="60"/>
    </row>
    <row r="15" customFormat="false" ht="15.6" hidden="false" customHeight="true" outlineLevel="0" collapsed="false">
      <c r="A15" s="60"/>
      <c r="B15" s="60"/>
      <c r="J15" s="60"/>
    </row>
    <row r="16" customFormat="false" ht="15.6" hidden="false" customHeight="true" outlineLevel="0" collapsed="false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customFormat="false" ht="15.6" hidden="false" customHeight="true" outlineLevel="0" collapsed="false">
      <c r="A17" s="60"/>
      <c r="B17" s="60"/>
      <c r="J17" s="60"/>
    </row>
    <row r="18" customFormat="false" ht="15.6" hidden="false" customHeight="true" outlineLevel="0" collapsed="false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customFormat="false" ht="15.6" hidden="false" customHeight="true" outlineLevel="0" collapsed="false">
      <c r="A19" s="60"/>
      <c r="B19" s="60"/>
      <c r="J19" s="60"/>
    </row>
    <row r="20" customFormat="false" ht="15.6" hidden="false" customHeight="true" outlineLevel="0" collapsed="false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customFormat="false" ht="15.6" hidden="false" customHeight="true" outlineLevel="0" collapsed="false">
      <c r="A21" s="60"/>
      <c r="B21" s="60"/>
      <c r="J21" s="60"/>
    </row>
    <row r="22" customFormat="false" ht="15.6" hidden="false" customHeight="true" outlineLevel="0" collapsed="false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customFormat="false" ht="15.6" hidden="false" customHeight="true" outlineLevel="0" collapsed="false">
      <c r="A23" s="60"/>
      <c r="B23" s="60"/>
      <c r="J23" s="60"/>
    </row>
    <row r="24" customFormat="false" ht="15.6" hidden="false" customHeight="true" outlineLevel="0" collapsed="false">
      <c r="A24" s="60"/>
      <c r="B24" s="60"/>
      <c r="J24" s="60"/>
    </row>
    <row r="25" customFormat="false" ht="15.6" hidden="false" customHeight="true" outlineLevel="0" collapsed="false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customFormat="false" ht="15.6" hidden="false" customHeight="true" outlineLevel="0" collapsed="false">
      <c r="A26" s="60"/>
      <c r="B26" s="60"/>
      <c r="J26" s="60"/>
    </row>
    <row r="27" customFormat="false" ht="15.6" hidden="false" customHeight="true" outlineLevel="0" collapsed="false">
      <c r="A27" s="60"/>
      <c r="B27" s="60"/>
      <c r="J27" s="60"/>
    </row>
    <row r="28" customFormat="false" ht="15.6" hidden="false" customHeight="true" outlineLevel="0" collapsed="false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customFormat="false" ht="15.6" hidden="false" customHeight="true" outlineLevel="0" collapsed="false">
      <c r="A29" s="60"/>
      <c r="B29" s="60"/>
      <c r="J29" s="60"/>
    </row>
    <row r="30" customFormat="false" ht="15.6" hidden="false" customHeight="true" outlineLevel="0" collapsed="false">
      <c r="A30" s="60"/>
      <c r="B30" s="60"/>
      <c r="J30" s="60"/>
    </row>
    <row r="31" customFormat="false" ht="15.6" hidden="false" customHeight="true" outlineLevel="0" collapsed="false">
      <c r="A31" s="60"/>
      <c r="B31" s="60"/>
      <c r="J31" s="60"/>
    </row>
    <row r="32" customFormat="false" ht="15.6" hidden="false" customHeight="true" outlineLevel="0" collapsed="false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customFormat="false" ht="15.6" hidden="false" customHeight="true" outlineLevel="0" collapsed="false">
      <c r="A33" s="60"/>
      <c r="B33" s="60"/>
      <c r="J33" s="60"/>
    </row>
    <row r="34" customFormat="false" ht="15.6" hidden="false" customHeight="true" outlineLevel="0" collapsed="false">
      <c r="A34" s="60"/>
      <c r="B34" s="60"/>
      <c r="J34" s="60"/>
    </row>
    <row r="35" customFormat="false" ht="15.6" hidden="false" customHeight="true" outlineLevel="0" collapsed="false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customFormat="false" ht="15.6" hidden="false" customHeight="true" outlineLevel="0" collapsed="false">
      <c r="A36" s="60"/>
      <c r="B36" s="60"/>
      <c r="J36" s="60"/>
    </row>
    <row r="37" customFormat="false" ht="15.6" hidden="false" customHeight="true" outlineLevel="0" collapsed="false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customFormat="false" ht="15.6" hidden="false" customHeight="true" outlineLevel="0" collapsed="false">
      <c r="A38" s="60"/>
      <c r="B38" s="60"/>
      <c r="J38" s="60"/>
    </row>
    <row r="39" customFormat="false" ht="15.6" hidden="false" customHeight="true" outlineLevel="0" collapsed="false">
      <c r="A39" s="60"/>
      <c r="B39" s="60"/>
      <c r="C39" s="60"/>
      <c r="D39" s="60"/>
      <c r="E39" s="60"/>
      <c r="F39" s="60"/>
      <c r="G39" s="60"/>
      <c r="H39" s="60"/>
      <c r="I39" s="60"/>
      <c r="J39" s="60"/>
    </row>
    <row r="40" customFormat="false" ht="15.6" hidden="false" customHeight="true" outlineLevel="0" collapsed="false">
      <c r="A40" s="60"/>
      <c r="B40" s="60"/>
      <c r="J40" s="60"/>
    </row>
    <row r="41" customFormat="false" ht="15.6" hidden="false" customHeight="true" outlineLevel="0" collapsed="false">
      <c r="A41" s="60"/>
      <c r="B41" s="60"/>
      <c r="J41" s="60"/>
    </row>
    <row r="42" customFormat="false" ht="15.6" hidden="false" customHeight="true" outlineLevel="0" collapsed="false">
      <c r="A42" s="60"/>
      <c r="B42" s="60"/>
      <c r="J42" s="60"/>
    </row>
    <row r="43" customFormat="false" ht="15.6" hidden="false" customHeight="true" outlineLevel="0" collapsed="false">
      <c r="A43" s="60"/>
      <c r="B43" s="60"/>
      <c r="J43" s="60"/>
    </row>
    <row r="44" customFormat="false" ht="15.6" hidden="false" customHeight="true" outlineLevel="0" collapsed="false">
      <c r="A44" s="60"/>
      <c r="B44" s="60"/>
      <c r="C44" s="60"/>
      <c r="D44" s="60"/>
      <c r="E44" s="60"/>
      <c r="F44" s="60"/>
      <c r="G44" s="60"/>
      <c r="H44" s="60"/>
      <c r="I44" s="60"/>
      <c r="J44" s="6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1" sqref="D14:D19 A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98</v>
      </c>
      <c r="G1" s="2" t="s">
        <v>79</v>
      </c>
      <c r="K1" s="2" t="s">
        <v>99</v>
      </c>
      <c r="O1" s="2" t="s">
        <v>100</v>
      </c>
      <c r="R1" s="2" t="s">
        <v>101</v>
      </c>
      <c r="S1" s="2" t="n">
        <v>0.2</v>
      </c>
      <c r="U1" s="2" t="s">
        <v>102</v>
      </c>
      <c r="V1" s="2" t="n">
        <v>1.8</v>
      </c>
    </row>
    <row r="2" customFormat="false" ht="17.35" hidden="false" customHeight="false" outlineLevel="0" collapsed="false">
      <c r="G2" s="2" t="s">
        <v>103</v>
      </c>
      <c r="Y2" s="2" t="s">
        <v>104</v>
      </c>
      <c r="AB2" s="2" t="s">
        <v>105</v>
      </c>
      <c r="AD2" s="2" t="s">
        <v>106</v>
      </c>
      <c r="AE2" s="1"/>
      <c r="AG2" s="2" t="s">
        <v>107</v>
      </c>
    </row>
    <row r="3" customFormat="false" ht="17.35" hidden="false" customHeight="false" outlineLevel="0" collapsed="false">
      <c r="D3" s="2" t="n">
        <v>6000</v>
      </c>
      <c r="G3" s="2" t="s">
        <v>108</v>
      </c>
      <c r="K3" s="2" t="s">
        <v>109</v>
      </c>
      <c r="O3" s="2" t="s">
        <v>110</v>
      </c>
      <c r="P3" s="2" t="s">
        <v>82</v>
      </c>
      <c r="Q3" s="2" t="s">
        <v>111</v>
      </c>
      <c r="R3" s="2" t="s">
        <v>112</v>
      </c>
      <c r="S3" s="2" t="s">
        <v>113</v>
      </c>
      <c r="T3" s="2" t="s">
        <v>114</v>
      </c>
      <c r="U3" s="2" t="s">
        <v>115</v>
      </c>
      <c r="V3" s="2" t="s">
        <v>116</v>
      </c>
    </row>
    <row r="4" customFormat="false" ht="17.35" hidden="false" customHeight="false" outlineLevel="0" collapsed="false">
      <c r="C4" s="2" t="s">
        <v>82</v>
      </c>
      <c r="D4" s="15" t="n">
        <v>4123.40425531915</v>
      </c>
      <c r="E4" s="61" t="n">
        <f aca="false">D4/1000*1.8</f>
        <v>7.42212765957447</v>
      </c>
      <c r="G4" s="2" t="s">
        <v>117</v>
      </c>
      <c r="K4" s="2" t="s">
        <v>118</v>
      </c>
      <c r="O4" s="2" t="n">
        <v>0.6</v>
      </c>
      <c r="P4" s="2" t="n">
        <f aca="false">O4/1.55*$V$1</f>
        <v>0.696774193548387</v>
      </c>
      <c r="Q4" s="2" t="n">
        <f aca="false">O4/1.55*16/1000*3</f>
        <v>0.0185806451612903</v>
      </c>
      <c r="R4" s="2" t="n">
        <f aca="false">$S$1*O4/1.55</f>
        <v>0.0774193548387097</v>
      </c>
      <c r="S4" s="2" t="n">
        <f aca="false">(P4+Q4+R4)/O4</f>
        <v>1.32129032258065</v>
      </c>
      <c r="T4" s="2" t="n">
        <f aca="false">3.5/0.52</f>
        <v>6.73076923076923</v>
      </c>
      <c r="U4" s="2" t="n">
        <f aca="false">T4-S4</f>
        <v>5.40947890818859</v>
      </c>
      <c r="V4" s="62" t="n">
        <f aca="false">U4/T4</f>
        <v>0.80369400921659</v>
      </c>
      <c r="Y4" s="2" t="s">
        <v>119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15" t="n">
        <v>1052.23404255319</v>
      </c>
      <c r="E5" s="61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62" t="n">
        <f aca="false">U5/T5</f>
        <v>0.788593548387097</v>
      </c>
      <c r="Y5" s="2" t="s">
        <v>120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121</v>
      </c>
      <c r="D6" s="15" t="n">
        <v>4.12340425531915</v>
      </c>
      <c r="E6" s="61"/>
      <c r="G6" s="2" t="s">
        <v>82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62" t="n">
        <f aca="false">U6/T6</f>
        <v>0.779784946236559</v>
      </c>
      <c r="Y6" s="2" t="s">
        <v>122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15" t="n">
        <v>76.5957446808511</v>
      </c>
      <c r="E7" s="61" t="n">
        <f aca="false">D7/1000*3</f>
        <v>0.229787234042553</v>
      </c>
      <c r="G7" s="2" t="s">
        <v>84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62" t="n">
        <f aca="false">U7/T7</f>
        <v>0.752258064516129</v>
      </c>
      <c r="Y7" s="2" t="s">
        <v>123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15" t="n">
        <v>274.468085106383</v>
      </c>
      <c r="E8" s="61" t="n">
        <f aca="false">D8/1000*15</f>
        <v>4.11702127659575</v>
      </c>
      <c r="G8" s="2" t="s">
        <v>86</v>
      </c>
      <c r="H8" s="1" t="n">
        <f aca="false">H6/500*3</f>
        <v>6</v>
      </c>
      <c r="I8" s="2" t="n">
        <f aca="false">H8*0.5/1.055</f>
        <v>2.8436018957346</v>
      </c>
      <c r="Y8" s="2" t="s">
        <v>124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15" t="n">
        <v>274.468085106383</v>
      </c>
      <c r="E9" s="61" t="n">
        <f aca="false">D9/1000*6</f>
        <v>1.6468085106383</v>
      </c>
      <c r="G9" s="2" t="s">
        <v>60</v>
      </c>
      <c r="H9" s="1" t="n">
        <f aca="false">H6/500*50</f>
        <v>100</v>
      </c>
      <c r="I9" s="2" t="n">
        <f aca="false">H9/1000*6</f>
        <v>0.6</v>
      </c>
      <c r="Y9" s="2" t="s">
        <v>125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15" t="n">
        <v>1212.76595744681</v>
      </c>
      <c r="E10" s="61" t="n">
        <f aca="false">D10/1000*2</f>
        <v>2.42553191489362</v>
      </c>
      <c r="G10" s="2" t="s">
        <v>6</v>
      </c>
      <c r="H10" s="1"/>
      <c r="Y10" s="2" t="s">
        <v>126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112</v>
      </c>
      <c r="D11" s="2" t="n">
        <v>1.5</v>
      </c>
      <c r="E11" s="2" t="n">
        <f aca="false">D11*3*0.3</f>
        <v>1.35</v>
      </c>
      <c r="G11" s="2" t="s">
        <v>8</v>
      </c>
      <c r="H11" s="1"/>
      <c r="Y11" s="2" t="s">
        <v>127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128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129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130</v>
      </c>
      <c r="H13" s="1" t="n">
        <v>0.5</v>
      </c>
      <c r="I13" s="43" t="n">
        <f aca="false">I17*H13</f>
        <v>19.5</v>
      </c>
      <c r="K13" s="1" t="n">
        <v>0.34</v>
      </c>
      <c r="L13" s="43" t="n">
        <f aca="false">L17*K13</f>
        <v>12.172</v>
      </c>
      <c r="Y13" s="2" t="s">
        <v>131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132</v>
      </c>
      <c r="E14" s="2" t="n">
        <f aca="false">SUM(E4:E11)</f>
        <v>17.1912765957447</v>
      </c>
      <c r="G14" s="1" t="s">
        <v>133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134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135</v>
      </c>
      <c r="E15" s="2" t="n">
        <f aca="false">E14/6</f>
        <v>2.86521276595745</v>
      </c>
      <c r="G15" s="2" t="s">
        <v>136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114</v>
      </c>
      <c r="E16" s="2" t="n">
        <v>8</v>
      </c>
      <c r="G16" s="2" t="s">
        <v>137</v>
      </c>
      <c r="H16" s="2" t="n">
        <f aca="false">I14/H15</f>
        <v>0.880377830437072</v>
      </c>
      <c r="K16" s="2" t="n">
        <f aca="false">L14/K15</f>
        <v>0.8341</v>
      </c>
      <c r="O16" s="2" t="s">
        <v>138</v>
      </c>
      <c r="Y16" s="2" t="s">
        <v>139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140</v>
      </c>
      <c r="E17" s="2" t="n">
        <f aca="false">E16-E15</f>
        <v>5.13478723404255</v>
      </c>
      <c r="G17" s="2" t="s">
        <v>141</v>
      </c>
      <c r="I17" s="2" t="n">
        <v>39</v>
      </c>
      <c r="L17" s="2" t="n">
        <v>35.8</v>
      </c>
      <c r="O17" s="2" t="s">
        <v>142</v>
      </c>
      <c r="R17" s="2" t="n">
        <v>3</v>
      </c>
    </row>
    <row r="18" customFormat="false" ht="17.35" hidden="false" customHeight="false" outlineLevel="0" collapsed="false">
      <c r="C18" s="62" t="s">
        <v>116</v>
      </c>
      <c r="D18" s="62"/>
      <c r="E18" s="62" t="n">
        <f aca="false">E17/E16</f>
        <v>0.641848404255319</v>
      </c>
      <c r="O18" s="2" t="s">
        <v>143</v>
      </c>
      <c r="R18" s="2" t="n">
        <f aca="false">9</f>
        <v>9</v>
      </c>
      <c r="Y18" s="2" t="s">
        <v>144</v>
      </c>
      <c r="Z18" s="63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145</v>
      </c>
      <c r="R19" s="2" t="n">
        <v>12</v>
      </c>
      <c r="Y19" s="2" t="s">
        <v>146</v>
      </c>
      <c r="Z19" s="2" t="n">
        <v>35</v>
      </c>
    </row>
    <row r="20" customFormat="false" ht="17.35" hidden="false" customHeight="false" outlineLevel="0" collapsed="false">
      <c r="C20" s="2" t="s">
        <v>147</v>
      </c>
      <c r="E20" s="2" t="n">
        <f aca="false">11</f>
        <v>11</v>
      </c>
      <c r="O20" s="2" t="s">
        <v>148</v>
      </c>
      <c r="Y20" s="2" t="s">
        <v>112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149</v>
      </c>
      <c r="E21" s="2" t="n">
        <f aca="false">E15*1.5</f>
        <v>4.29781914893617</v>
      </c>
      <c r="O21" s="2" t="s">
        <v>150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140</v>
      </c>
      <c r="E22" s="2" t="n">
        <f aca="false">E20-E21</f>
        <v>6.70218085106383</v>
      </c>
      <c r="O22" s="2" t="s">
        <v>146</v>
      </c>
      <c r="R22" s="2" t="n">
        <f aca="false">R21/12</f>
        <v>20.8333333333333</v>
      </c>
      <c r="Y22" s="2" t="s">
        <v>151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62" t="s">
        <v>116</v>
      </c>
      <c r="D23" s="62"/>
      <c r="E23" s="62" t="n">
        <f aca="false">E22/E20</f>
        <v>0.60928916827853</v>
      </c>
      <c r="H23" s="2" t="n">
        <v>1</v>
      </c>
      <c r="I23" s="63" t="n">
        <f aca="false">H23*H16</f>
        <v>0.880377830437072</v>
      </c>
      <c r="J23" s="61" t="n">
        <f aca="false">I23</f>
        <v>0.880377830437072</v>
      </c>
      <c r="K23" s="2" t="n">
        <v>1</v>
      </c>
      <c r="L23" s="63" t="n">
        <f aca="false">K23*$K$16</f>
        <v>0.8341</v>
      </c>
      <c r="M23" s="61" t="n">
        <f aca="false">L23</f>
        <v>0.8341</v>
      </c>
      <c r="Y23" s="2" t="s">
        <v>147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114</v>
      </c>
      <c r="E24" s="2" t="n">
        <f aca="false">E20/1.5</f>
        <v>7.33333333333333</v>
      </c>
      <c r="H24" s="2" t="n">
        <v>2</v>
      </c>
      <c r="I24" s="63" t="n">
        <f aca="false">H24*$H$16</f>
        <v>1.76075566087414</v>
      </c>
      <c r="J24" s="61" t="n">
        <f aca="false">I24</f>
        <v>1.76075566087414</v>
      </c>
      <c r="K24" s="2" t="n">
        <v>2</v>
      </c>
      <c r="L24" s="63" t="n">
        <f aca="false">K24*$K$16</f>
        <v>1.6682</v>
      </c>
      <c r="M24" s="61" t="n">
        <f aca="false">L24</f>
        <v>1.6682</v>
      </c>
      <c r="Y24" s="2" t="s">
        <v>140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H25" s="2" t="n">
        <v>3</v>
      </c>
      <c r="I25" s="63" t="n">
        <f aca="false">H25*$H$16</f>
        <v>2.64113349131122</v>
      </c>
      <c r="J25" s="61" t="n">
        <f aca="false">I25</f>
        <v>2.64113349131122</v>
      </c>
      <c r="K25" s="2" t="n">
        <v>3</v>
      </c>
      <c r="L25" s="63" t="n">
        <f aca="false">K25*$K$16</f>
        <v>2.5023</v>
      </c>
      <c r="M25" s="61" t="n">
        <f aca="false">L25</f>
        <v>2.5023</v>
      </c>
      <c r="Y25" s="2" t="s">
        <v>116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63" t="n">
        <f aca="false">H26*$H$16</f>
        <v>3.52151132174829</v>
      </c>
      <c r="J26" s="61" t="n">
        <f aca="false">I26</f>
        <v>3.52151132174829</v>
      </c>
      <c r="K26" s="2" t="n">
        <v>4</v>
      </c>
      <c r="L26" s="63" t="n">
        <f aca="false">K26*$K$16</f>
        <v>3.3364</v>
      </c>
      <c r="M26" s="61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63" t="n">
        <f aca="false">H27*$H$16</f>
        <v>4.40188915218536</v>
      </c>
      <c r="J27" s="61" t="n">
        <f aca="false">I27</f>
        <v>4.40188915218536</v>
      </c>
      <c r="K27" s="2" t="n">
        <v>5</v>
      </c>
      <c r="L27" s="63" t="n">
        <f aca="false">K27*$K$16</f>
        <v>4.1705</v>
      </c>
      <c r="M27" s="61" t="n">
        <f aca="false">L27</f>
        <v>4.1705</v>
      </c>
      <c r="Y27" s="2" t="s">
        <v>152</v>
      </c>
      <c r="AC27" s="2" t="s">
        <v>153</v>
      </c>
    </row>
    <row r="28" customFormat="false" ht="17.35" hidden="false" customHeight="false" outlineLevel="0" collapsed="false">
      <c r="H28" s="2" t="n">
        <v>6</v>
      </c>
      <c r="I28" s="63" t="n">
        <f aca="false">H28*$H$16</f>
        <v>5.28226698262243</v>
      </c>
      <c r="J28" s="61" t="n">
        <f aca="false">I28</f>
        <v>5.28226698262243</v>
      </c>
      <c r="K28" s="2" t="n">
        <v>6</v>
      </c>
      <c r="L28" s="63" t="n">
        <f aca="false">K28*$K$16</f>
        <v>5.0046</v>
      </c>
      <c r="M28" s="61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63" t="n">
        <f aca="false">H29*$H$16</f>
        <v>6.1626448130595</v>
      </c>
      <c r="J29" s="61" t="n">
        <f aca="false">I29</f>
        <v>6.1626448130595</v>
      </c>
      <c r="K29" s="2" t="n">
        <v>7</v>
      </c>
      <c r="L29" s="63" t="n">
        <f aca="false">K29*$K$16</f>
        <v>5.8387</v>
      </c>
      <c r="M29" s="61" t="n">
        <f aca="false">L29</f>
        <v>5.8387</v>
      </c>
      <c r="Y29" s="2" t="s">
        <v>85</v>
      </c>
      <c r="Z29" s="63" t="n">
        <v>4</v>
      </c>
      <c r="AC29" s="2" t="s">
        <v>154</v>
      </c>
      <c r="AE29" s="1"/>
      <c r="AF29" s="2" t="s">
        <v>155</v>
      </c>
    </row>
    <row r="30" customFormat="false" ht="17.35" hidden="false" customHeight="false" outlineLevel="0" collapsed="false">
      <c r="H30" s="2" t="n">
        <v>8</v>
      </c>
      <c r="I30" s="63" t="n">
        <f aca="false">H30*$H$16</f>
        <v>7.04302264349658</v>
      </c>
      <c r="J30" s="61" t="n">
        <f aca="false">I30</f>
        <v>7.04302264349658</v>
      </c>
      <c r="K30" s="2" t="n">
        <v>8</v>
      </c>
      <c r="L30" s="63" t="n">
        <f aca="false">K30*$K$16</f>
        <v>6.6728</v>
      </c>
      <c r="M30" s="61" t="n">
        <f aca="false">L30</f>
        <v>6.6728</v>
      </c>
      <c r="Y30" s="2" t="s">
        <v>46</v>
      </c>
      <c r="Z30" s="63" t="n">
        <v>4.1</v>
      </c>
      <c r="AC30" s="2" t="s">
        <v>156</v>
      </c>
      <c r="AE30" s="1"/>
      <c r="AF30" s="64" t="n">
        <v>1.1</v>
      </c>
    </row>
    <row r="31" customFormat="false" ht="17.35" hidden="false" customHeight="false" outlineLevel="0" collapsed="false">
      <c r="H31" s="2" t="n">
        <v>9</v>
      </c>
      <c r="I31" s="63" t="n">
        <f aca="false">H31*$H$16</f>
        <v>7.92340047393365</v>
      </c>
      <c r="J31" s="61" t="n">
        <f aca="false">I31</f>
        <v>7.92340047393365</v>
      </c>
      <c r="K31" s="2" t="n">
        <v>9</v>
      </c>
      <c r="L31" s="63" t="n">
        <f aca="false">K31*$K$16</f>
        <v>7.5069</v>
      </c>
      <c r="M31" s="61" t="n">
        <f aca="false">L31</f>
        <v>7.5069</v>
      </c>
      <c r="Y31" s="2" t="s">
        <v>157</v>
      </c>
      <c r="Z31" s="63" t="n">
        <f aca="false">4.1/1.055</f>
        <v>3.88625592417062</v>
      </c>
      <c r="AC31" s="2" t="s">
        <v>158</v>
      </c>
      <c r="AE31" s="1"/>
      <c r="AF31" s="64" t="n">
        <v>0.9</v>
      </c>
    </row>
    <row r="32" customFormat="false" ht="17.35" hidden="false" customHeight="false" outlineLevel="0" collapsed="false">
      <c r="H32" s="2" t="n">
        <v>10</v>
      </c>
      <c r="I32" s="63" t="n">
        <f aca="false">H32*$H$16</f>
        <v>8.80377830437072</v>
      </c>
      <c r="J32" s="61" t="n">
        <f aca="false">I32</f>
        <v>8.80377830437072</v>
      </c>
      <c r="K32" s="2" t="n">
        <v>10</v>
      </c>
      <c r="L32" s="63" t="n">
        <f aca="false">K32*$K$16</f>
        <v>8.341</v>
      </c>
      <c r="M32" s="61" t="n">
        <f aca="false">L32</f>
        <v>8.341</v>
      </c>
      <c r="Y32" s="2" t="s">
        <v>159</v>
      </c>
      <c r="Z32" s="63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63" t="n">
        <f aca="false">H33*$H$16</f>
        <v>9.68415613480779</v>
      </c>
      <c r="J33" s="61" t="n">
        <f aca="false">I33</f>
        <v>9.68415613480779</v>
      </c>
      <c r="K33" s="2" t="n">
        <v>11</v>
      </c>
      <c r="L33" s="63" t="n">
        <f aca="false">K33*$K$16</f>
        <v>9.1751</v>
      </c>
      <c r="M33" s="61" t="n">
        <f aca="false">L33</f>
        <v>9.1751</v>
      </c>
      <c r="Y33" s="2" t="s">
        <v>160</v>
      </c>
      <c r="Z33" s="63" t="n">
        <f aca="false">14/1.055</f>
        <v>13.2701421800948</v>
      </c>
    </row>
    <row r="34" customFormat="false" ht="17.35" hidden="false" customHeight="false" outlineLevel="0" collapsed="false">
      <c r="Y34" s="2" t="s">
        <v>161</v>
      </c>
      <c r="Z34" s="63" t="n">
        <f aca="false">32/1.055</f>
        <v>30.3317535545024</v>
      </c>
    </row>
    <row r="35" customFormat="false" ht="17.35" hidden="false" customHeight="false" outlineLevel="0" collapsed="false">
      <c r="Y35" s="65" t="s">
        <v>162</v>
      </c>
      <c r="Z35" s="66" t="n">
        <f aca="false">6/1.055</f>
        <v>5.68720379146919</v>
      </c>
    </row>
    <row r="36" customFormat="false" ht="17.35" hidden="false" customHeight="false" outlineLevel="0" collapsed="false">
      <c r="Z36" s="63"/>
    </row>
    <row r="37" customFormat="false" ht="17.35" hidden="false" customHeight="false" outlineLevel="0" collapsed="false">
      <c r="Z37" s="63"/>
    </row>
    <row r="38" customFormat="false" ht="17.35" hidden="false" customHeight="false" outlineLevel="0" collapsed="false">
      <c r="Z38" s="6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14701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2024-09-23T19:47:19Z</dcterms:modified>
  <cp:revision>35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