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5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comments5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p_cmd" sheetId="1" state="visible" r:id="rId3"/>
    <sheet name="cp_recap" sheetId="2" state="visible" r:id="rId4"/>
    <sheet name="Recettes" sheetId="3" state="visible" r:id="rId5"/>
    <sheet name="cp_bl" sheetId="4" state="visible" r:id="rId6"/>
    <sheet name="Financier" sheetId="5" state="visible" r:id="rId7"/>
    <sheet name="version" sheetId="6" state="visible" r:id="rId8"/>
  </sheets>
  <definedNames>
    <definedName function="false" hidden="false" localSheetId="3" name="_xlnm.Print_Area" vbProcedure="false">cp_bl!$A:$J</definedName>
    <definedName function="false" hidden="false" localSheetId="0" name="_xlnm.Print_Area" vbProcedure="false">cp_cmd!$O$3:$W$39</definedName>
    <definedName function="false" hidden="false" localSheetId="1" name="_xlnm.Print_Area" vbProcedure="false">cp_recap!$A$1:$H$20</definedName>
    <definedName function="false" hidden="false" localSheetId="0" name="_xlnm_Print_Area" vbProcedure="false">cp_cmd!$E$2:$S$29</definedName>
    <definedName function="false" hidden="false" localSheetId="0" name="_xlnm_Print_Area_0" vbProcedure="false">cp_cmd!$E$2:$T$29</definedName>
    <definedName function="false" hidden="false" localSheetId="1" name="_xlnm_Print_Area" vbProcedure="false">cp_recap!$A$1:$D$30</definedName>
    <definedName function="false" hidden="false" localSheetId="1" name="_xlnm_Print_Area_0" vbProcedure="false">cp_recap!$A$1:$H$20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5.xml><?xml version="1.0" encoding="utf-8"?>
<comments xmlns="http://schemas.openxmlformats.org/spreadsheetml/2006/main" xmlns:xdr="http://schemas.openxmlformats.org/drawingml/2006/spreadsheetDrawing">
  <authors>
    <author>Auteur inconnu</author>
  </authors>
  <commentList>
    <comment ref="I12" authorId="0">
      <text>
        <r>
          <rPr>
            <sz val="10"/>
            <rFont val="Arial"/>
            <family val="2"/>
          </rPr>
          <t xml:space="preserve">1/2 heures pour 3Kwh à 25 cente/kwh</t>
        </r>
      </text>
    </comment>
    <comment ref="I13" authorId="0">
      <text>
        <r>
          <rPr>
            <sz val="10"/>
            <rFont val="Arial"/>
            <family val="2"/>
          </rPr>
          <t xml:space="preserve">Sur une base de 200€/jour</t>
        </r>
      </text>
    </comment>
    <comment ref="L12" authorId="0">
      <text>
        <r>
          <rPr>
            <sz val="10"/>
            <rFont val="Arial"/>
            <family val="2"/>
          </rPr>
          <t xml:space="preserve">1/2 heures pour 3Kwh à 25 cente/kwh</t>
        </r>
      </text>
    </comment>
    <comment ref="L13" authorId="0">
      <text>
        <r>
          <rPr>
            <sz val="10"/>
            <rFont val="Arial"/>
            <family val="2"/>
          </rPr>
          <t xml:space="preserve">Sur une base de 200€/jour</t>
        </r>
      </text>
    </comment>
  </commentList>
</comments>
</file>

<file path=xl/sharedStrings.xml><?xml version="1.0" encoding="utf-8"?>
<sst xmlns="http://schemas.openxmlformats.org/spreadsheetml/2006/main" count="268" uniqueCount="168">
  <si>
    <t xml:space="preserve">PdM-Vegan</t>
  </si>
  <si>
    <t xml:space="preserve">Tournesol</t>
  </si>
  <si>
    <t xml:space="preserve">Meteil</t>
  </si>
  <si>
    <t xml:space="preserve">Poids pain</t>
  </si>
  <si>
    <t xml:space="preserve">Seigle</t>
  </si>
  <si>
    <t xml:space="preserve">Blé</t>
  </si>
  <si>
    <t xml:space="preserve">Eau</t>
  </si>
  <si>
    <t xml:space="preserve">Levain</t>
  </si>
  <si>
    <t xml:space="preserve">Sel</t>
  </si>
  <si>
    <t xml:space="preserve">Pain2Mie1,5KG</t>
  </si>
  <si>
    <t xml:space="preserve">Sucre</t>
  </si>
  <si>
    <t xml:space="preserve">Huile</t>
  </si>
  <si>
    <t xml:space="preserve">Lait</t>
  </si>
  <si>
    <t xml:space="preserve">Poids total</t>
  </si>
  <si>
    <t xml:space="preserve">Four (245°)</t>
  </si>
  <si>
    <r>
      <rPr>
        <b val="true"/>
        <sz val="18"/>
        <color rgb="FF000000"/>
        <rFont val="Calibri"/>
        <family val="0"/>
        <charset val="1"/>
      </rPr>
      <t xml:space="preserve">2</t>
    </r>
    <r>
      <rPr>
        <sz val="18"/>
        <color rgb="FF000000"/>
        <rFont val="Calibri"/>
        <family val="0"/>
        <charset val="1"/>
      </rPr>
      <t xml:space="preserve">00/</t>
    </r>
    <r>
      <rPr>
        <b val="true"/>
        <sz val="18"/>
        <color rgb="FF000000"/>
        <rFont val="Calibri"/>
        <family val="0"/>
        <charset val="1"/>
      </rPr>
      <t xml:space="preserve">275</t>
    </r>
  </si>
  <si>
    <r>
      <rPr>
        <sz val="18"/>
        <color rgb="FF000000"/>
        <rFont val="Calibri"/>
        <family val="0"/>
        <charset val="1"/>
      </rPr>
      <t xml:space="preserve">20</t>
    </r>
    <r>
      <rPr>
        <b val="true"/>
        <sz val="18"/>
        <color rgb="FF000000"/>
        <rFont val="Calibri"/>
        <family val="0"/>
        <charset val="1"/>
      </rPr>
      <t xml:space="preserve">0</t>
    </r>
    <r>
      <rPr>
        <sz val="18"/>
        <color rgb="FF000000"/>
        <rFont val="Calibri"/>
        <family val="0"/>
        <charset val="1"/>
      </rPr>
      <t xml:space="preserve">/</t>
    </r>
    <r>
      <rPr>
        <b val="true"/>
        <sz val="18"/>
        <color rgb="FF000000"/>
        <rFont val="Calibri"/>
        <family val="0"/>
        <charset val="1"/>
      </rPr>
      <t xml:space="preserve">2</t>
    </r>
    <r>
      <rPr>
        <sz val="18"/>
        <color rgb="FF000000"/>
        <rFont val="Calibri"/>
        <family val="0"/>
        <charset val="1"/>
      </rPr>
      <t xml:space="preserve">00</t>
    </r>
  </si>
  <si>
    <t xml:space="preserve">@20m (265°)</t>
  </si>
  <si>
    <r>
      <rPr>
        <b val="true"/>
        <sz val="18"/>
        <color rgb="FF000000"/>
        <rFont val="Calibri"/>
        <family val="0"/>
        <charset val="1"/>
      </rPr>
      <t xml:space="preserve">2</t>
    </r>
    <r>
      <rPr>
        <sz val="18"/>
        <color rgb="FF000000"/>
        <rFont val="Calibri"/>
        <family val="0"/>
        <charset val="1"/>
      </rPr>
      <t xml:space="preserve">00/25</t>
    </r>
    <r>
      <rPr>
        <b val="true"/>
        <sz val="18"/>
        <color rgb="FF000000"/>
        <rFont val="Calibri"/>
        <family val="0"/>
        <charset val="1"/>
      </rPr>
      <t xml:space="preserve">0</t>
    </r>
  </si>
  <si>
    <r>
      <rPr>
        <b val="true"/>
        <sz val="18"/>
        <color rgb="FF000000"/>
        <rFont val="Calibri"/>
        <family val="0"/>
        <charset val="1"/>
      </rPr>
      <t xml:space="preserve">175</t>
    </r>
    <r>
      <rPr>
        <sz val="18"/>
        <color rgb="FF000000"/>
        <rFont val="Calibri"/>
        <family val="0"/>
        <charset val="1"/>
      </rPr>
      <t xml:space="preserve">/</t>
    </r>
    <r>
      <rPr>
        <b val="true"/>
        <sz val="18"/>
        <color rgb="FF000000"/>
        <rFont val="Calibri"/>
        <family val="0"/>
        <charset val="1"/>
      </rPr>
      <t xml:space="preserve">2</t>
    </r>
    <r>
      <rPr>
        <sz val="18"/>
        <color rgb="FF000000"/>
        <rFont val="Calibri"/>
        <family val="0"/>
        <charset val="1"/>
      </rPr>
      <t xml:space="preserve">00</t>
    </r>
  </si>
  <si>
    <t xml:space="preserve">PH</t>
  </si>
  <si>
    <t xml:space="preserve">4,5 @Faconnage</t>
  </si>
  <si>
    <t xml:space="preserve">4,2@Enfournnement</t>
  </si>
  <si>
    <t xml:space="preserve">-0,2/Heure</t>
  </si>
  <si>
    <t xml:space="preserve">TB</t>
  </si>
  <si>
    <t xml:space="preserve">Production du 03/09/24</t>
  </si>
  <si>
    <t xml:space="preserve">nom</t>
  </si>
  <si>
    <t xml:space="preserve">pa_forme</t>
  </si>
  <si>
    <t xml:space="preserve">pa_poids</t>
  </si>
  <si>
    <t xml:space="preserve">quantite</t>
  </si>
  <si>
    <t xml:space="preserve">Poids</t>
  </si>
  <si>
    <t xml:space="preserve">Méteil Nature 15% Seigle</t>
  </si>
  <si>
    <t xml:space="preserve">batard</t>
  </si>
  <si>
    <t xml:space="preserve">600g</t>
  </si>
  <si>
    <t xml:space="preserve">1kg</t>
  </si>
  <si>
    <t xml:space="preserve">1-5kg</t>
  </si>
  <si>
    <t xml:space="preserve">moule</t>
  </si>
  <si>
    <t xml:space="preserve">800g</t>
  </si>
  <si>
    <t xml:space="preserve">Tournesol Toasté</t>
  </si>
  <si>
    <t xml:space="preserve">520g</t>
  </si>
  <si>
    <t xml:space="preserve">Pain de mie végé</t>
  </si>
  <si>
    <t xml:space="preserve">500g</t>
  </si>
  <si>
    <t xml:space="preserve">Moulé Petit Epeautre</t>
  </si>
  <si>
    <t xml:space="preserve">300g</t>
  </si>
  <si>
    <t xml:space="preserve">Semi complet Nature</t>
  </si>
  <si>
    <t xml:space="preserve">Nature</t>
  </si>
  <si>
    <t xml:space="preserve">PE</t>
  </si>
  <si>
    <t xml:space="preserve">Tournesol V2</t>
  </si>
  <si>
    <t xml:space="preserve">Total Nature</t>
  </si>
  <si>
    <t xml:space="preserve">Delta Tournesol</t>
  </si>
  <si>
    <t xml:space="preserve">PdM Vegan</t>
  </si>
  <si>
    <t xml:space="preserve">Quattro</t>
  </si>
  <si>
    <t xml:space="preserve">Total pain</t>
  </si>
  <si>
    <t xml:space="preserve">Control pain</t>
  </si>
  <si>
    <t xml:space="preserve">Farine Seigle</t>
  </si>
  <si>
    <t xml:space="preserve">Paton</t>
  </si>
  <si>
    <t xml:space="preserve">Farine de blé</t>
  </si>
  <si>
    <t xml:space="preserve">Graine</t>
  </si>
  <si>
    <t xml:space="preserve">Lev1/LevUre</t>
  </si>
  <si>
    <t xml:space="preserve">Miel</t>
  </si>
  <si>
    <t xml:space="preserve">TH</t>
  </si>
  <si>
    <t xml:space="preserve">Beurre</t>
  </si>
  <si>
    <t xml:space="preserve">Oeufs</t>
  </si>
  <si>
    <t xml:space="preserve">Total pate</t>
  </si>
  <si>
    <t xml:space="preserve">1000g T45 18g sel 30g levure 50g sucre 40g beurre 520g eau 50g peuf 30g huile </t>
  </si>
  <si>
    <t xml:space="preserve">50% Farine</t>
  </si>
  <si>
    <t xml:space="preserve">Pain bis</t>
  </si>
  <si>
    <t xml:space="preserve">Base de calcul</t>
  </si>
  <si>
    <t xml:space="preserve">100% pop Bouviers ou 50Bouvier-50Biograneta ou 100% Biograneta</t>
  </si>
  <si>
    <t xml:space="preserve">100% nogal</t>
  </si>
  <si>
    <t xml:space="preserve">50% nogal/50%Belvisio</t>
  </si>
  <si>
    <t xml:space="preserve">100% touzelle Biograneta</t>
  </si>
  <si>
    <t xml:space="preserve">RespectusPanis PE Biograneta</t>
  </si>
  <si>
    <t xml:space="preserve">RespectusPanis Tournesol</t>
  </si>
  <si>
    <t xml:space="preserve">RespectusPanis Nature</t>
  </si>
  <si>
    <t xml:space="preserve">Tournesol v2</t>
  </si>
  <si>
    <t xml:space="preserve">Pain de mie Froid</t>
  </si>
  <si>
    <t xml:space="preserve">Pizzas Froid</t>
  </si>
  <si>
    <t xml:space="preserve">Trio</t>
  </si>
  <si>
    <t xml:space="preserve">Crepes PE</t>
  </si>
  <si>
    <t xml:space="preserve">Galette sarrasin</t>
  </si>
  <si>
    <t xml:space="preserve">Pain cuit</t>
  </si>
  <si>
    <t xml:space="preserve">Farine</t>
  </si>
  <si>
    <t xml:space="preserve">Total Farine</t>
  </si>
  <si>
    <t xml:space="preserve">Lait Veg</t>
  </si>
  <si>
    <t xml:space="preserve">Sarrazin</t>
  </si>
  <si>
    <t xml:space="preserve">Oeufs </t>
  </si>
  <si>
    <t xml:space="preserve">Œufs / Lait</t>
  </si>
  <si>
    <t xml:space="preserve">Total Pate</t>
  </si>
  <si>
    <t xml:space="preserve">TH total</t>
  </si>
  <si>
    <t xml:space="preserve">%seigle</t>
  </si>
  <si>
    <t xml:space="preserve">%levain</t>
  </si>
  <si>
    <t xml:space="preserve">Graines Quattro</t>
  </si>
  <si>
    <t xml:space="preserve">Pour 1Kg</t>
  </si>
  <si>
    <t xml:space="preserve">Flocon</t>
  </si>
  <si>
    <t xml:space="preserve">Lin B</t>
  </si>
  <si>
    <t xml:space="preserve">Lin D</t>
  </si>
  <si>
    <t xml:space="preserve">Courge</t>
  </si>
  <si>
    <t xml:space="preserve">Pain de mie Végé</t>
  </si>
  <si>
    <t xml:space="preserve">Galette Sarrazin</t>
  </si>
  <si>
    <t xml:space="preserve">Semi complet</t>
  </si>
  <si>
    <t xml:space="preserve">Cout energie / Kg</t>
  </si>
  <si>
    <t xml:space="preserve">Cout farine</t>
  </si>
  <si>
    <t xml:space="preserve">66g</t>
  </si>
  <si>
    <t xml:space="preserve">Pizza Montagne</t>
  </si>
  <si>
    <t xml:space="preserve">Pizza Reine</t>
  </si>
  <si>
    <t xml:space="preserve">Pizza 3 fromages</t>
  </si>
  <si>
    <t xml:space="preserve">Margarita</t>
  </si>
  <si>
    <t xml:space="preserve">30 crepes à l’heure</t>
  </si>
  <si>
    <t xml:space="preserve">30 galettes à l’heure</t>
  </si>
  <si>
    <t xml:space="preserve">Poids pate</t>
  </si>
  <si>
    <t xml:space="preserve">sel</t>
  </si>
  <si>
    <t xml:space="preserve">Energie</t>
  </si>
  <si>
    <t xml:space="preserve">Cout Kg</t>
  </si>
  <si>
    <t xml:space="preserve">PV Kg</t>
  </si>
  <si>
    <t xml:space="preserve">Marge Kg</t>
  </si>
  <si>
    <t xml:space="preserve">Marge %</t>
  </si>
  <si>
    <t xml:space="preserve">18 crepes pour 500g de farine</t>
  </si>
  <si>
    <t xml:space="preserve">10 crepres pour 500g farine</t>
  </si>
  <si>
    <t xml:space="preserve">Pâte : 200-250g</t>
  </si>
  <si>
    <t xml:space="preserve">Crème fraîche : 80-100g</t>
  </si>
  <si>
    <t xml:space="preserve">Levure</t>
  </si>
  <si>
    <t xml:space="preserve">Champignons : 100g</t>
  </si>
  <si>
    <t xml:space="preserve">Oignons : 30-50g</t>
  </si>
  <si>
    <t xml:space="preserve">Bleu : 40-50g</t>
  </si>
  <si>
    <t xml:space="preserve">Fromage râpé : 70-80g</t>
  </si>
  <si>
    <t xml:space="preserve">Jambon : 80g</t>
  </si>
  <si>
    <t xml:space="preserve">Sauce tomate : 80-100g</t>
  </si>
  <si>
    <t xml:space="preserve">Electricité</t>
  </si>
  <si>
    <t xml:space="preserve">Emmental (reine) : 100g</t>
  </si>
  <si>
    <t xml:space="preserve">Temps en euros</t>
  </si>
  <si>
    <t xml:space="preserve">Emmental (3 fr) : 70g</t>
  </si>
  <si>
    <t xml:space="preserve">Cout Total</t>
  </si>
  <si>
    <t xml:space="preserve">Total Euros</t>
  </si>
  <si>
    <t xml:space="preserve">Chevre : 50g</t>
  </si>
  <si>
    <t xml:space="preserve">Cout / Kg</t>
  </si>
  <si>
    <t xml:space="preserve">Total crepes</t>
  </si>
  <si>
    <t xml:space="preserve">Cout 1 CREPES</t>
  </si>
  <si>
    <t xml:space="preserve">Pain :</t>
  </si>
  <si>
    <t xml:space="preserve">Cout MP</t>
  </si>
  <si>
    <t xml:space="preserve">Marge</t>
  </si>
  <si>
    <t xml:space="preserve">Taux horaire final</t>
  </si>
  <si>
    <t xml:space="preserve">Perparation paton/fourniture</t>
  </si>
  <si>
    <t xml:space="preserve">fournée (ditrib,lavage,fab)</t>
  </si>
  <si>
    <t xml:space="preserve">Temps Réalisation</t>
  </si>
  <si>
    <t xml:space="preserve">Total</t>
  </si>
  <si>
    <t xml:space="preserve">Taux horaire</t>
  </si>
  <si>
    <t xml:space="preserve">PV</t>
  </si>
  <si>
    <t xml:space="preserve">Marge moyenne de 5</t>
  </si>
  <si>
    <t xml:space="preserve">1,5Kg</t>
  </si>
  <si>
    <t xml:space="preserve">Marge fournée pour 50kg</t>
  </si>
  <si>
    <t xml:space="preserve">Cout total</t>
  </si>
  <si>
    <t xml:space="preserve">Marge KG</t>
  </si>
  <si>
    <t xml:space="preserve">Cout achat MP pizza/crepes HT</t>
  </si>
  <si>
    <t xml:space="preserve">Prix vente GMS</t>
  </si>
  <si>
    <t xml:space="preserve">galette (biocoop)</t>
  </si>
  <si>
    <t xml:space="preserve">0,8€ piece / 70g</t>
  </si>
  <si>
    <t xml:space="preserve">galette (sobio)</t>
  </si>
  <si>
    <t xml:space="preserve">Sucre betterave (sobio)</t>
  </si>
  <si>
    <t xml:space="preserve">crepes suzette (sobio)</t>
  </si>
  <si>
    <t xml:space="preserve">Ognion (matet)</t>
  </si>
  <si>
    <t xml:space="preserve">Gruyere (sobio)</t>
  </si>
  <si>
    <t xml:space="preserve">Jambon (sobio)</t>
  </si>
  <si>
    <t xml:space="preserve">Coulis tomate ????</t>
  </si>
  <si>
    <t xml:space="preserve">Eau *2 pour les tournesols</t>
  </si>
  <si>
    <t xml:space="preserve">0,75g de levure au kilo de farine pour le pdm</t>
  </si>
  <si>
    <t xml:space="preserve">Modification recette pdm passage au sucre et soja joanna, levure saf (non instant)</t>
  </si>
  <si>
    <t xml:space="preserve">Sucre 20 % de plus que miel, Eau 20 % en plus poids de miel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</si>
</sst>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General"/>
    <numFmt numFmtId="166" formatCode="0"/>
    <numFmt numFmtId="167" formatCode="0.0"/>
    <numFmt numFmtId="168" formatCode="0.00"/>
    <numFmt numFmtId="169" formatCode="#,##0.00"/>
    <numFmt numFmtId="170" formatCode="0.00\ %"/>
    <numFmt numFmtId="171" formatCode="0.0%"/>
    <numFmt numFmtId="172" formatCode="0\ %"/>
    <numFmt numFmtId="173" formatCode="#,##0.00\ [$€-40C];[RED]\-#,##0.00\ [$€-40C]"/>
  </numFmts>
  <fonts count="1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Calibri"/>
      <family val="0"/>
      <charset val="1"/>
    </font>
    <font>
      <sz val="18"/>
      <color rgb="FF000000"/>
      <name val="Calibri"/>
      <family val="0"/>
      <charset val="1"/>
    </font>
    <font>
      <b val="true"/>
      <sz val="18"/>
      <color rgb="FF000000"/>
      <name val="Calibri"/>
      <family val="0"/>
      <charset val="1"/>
    </font>
    <font>
      <sz val="16"/>
      <color rgb="FF000000"/>
      <name val="Calibri"/>
      <family val="0"/>
      <charset val="1"/>
    </font>
    <font>
      <sz val="22"/>
      <color rgb="FF000000"/>
      <name val="Calibri"/>
      <family val="0"/>
      <charset val="1"/>
    </font>
    <font>
      <sz val="10"/>
      <color rgb="FF000000"/>
      <name val="Arial"/>
      <family val="0"/>
      <charset val="1"/>
    </font>
    <font>
      <u val="single"/>
      <sz val="11"/>
      <color rgb="FF0066CC"/>
      <name val="Calibri"/>
      <family val="0"/>
      <charset val="1"/>
    </font>
    <font>
      <sz val="12"/>
      <color rgb="FF000000"/>
      <name val="Calibri"/>
      <family val="0"/>
      <charset val="1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DDDDD"/>
        <bgColor rgb="FFDDE8CB"/>
      </patternFill>
    </fill>
    <fill>
      <patternFill patternType="solid">
        <fgColor rgb="FFE8F2A1"/>
        <bgColor rgb="FFDDE8CB"/>
      </patternFill>
    </fill>
    <fill>
      <patternFill patternType="solid">
        <fgColor rgb="FFDDE8CB"/>
        <bgColor rgb="FFDDDDDD"/>
      </patternFill>
    </fill>
    <fill>
      <patternFill patternType="solid">
        <fgColor rgb="FFFF0000"/>
        <bgColor rgb="FF993300"/>
      </patternFill>
    </fill>
    <fill>
      <patternFill patternType="solid">
        <fgColor rgb="FFFFF5CE"/>
        <bgColor rgb="FFFFFFFF"/>
      </patternFill>
    </fill>
    <fill>
      <patternFill patternType="solid">
        <fgColor rgb="FFFFA6A6"/>
        <bgColor rgb="FFFFCC99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1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5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3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4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E8F2A1"/>
      <rgbColor rgb="FF99CCFF"/>
      <rgbColor rgb="FFFFA6A6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H1:W42"/>
  <sheetViews>
    <sheetView showFormulas="false" showGridLines="true" showRowColHeaders="true" showZeros="true" rightToLeft="false" tabSelected="true" showOutlineSymbols="true" defaultGridColor="true" view="normal" topLeftCell="A1" colorId="64" zoomScale="84" zoomScaleNormal="84" zoomScalePageLayoutView="100" workbookViewId="0">
      <selection pane="topLeft" activeCell="R11" activeCellId="0" sqref="R11"/>
    </sheetView>
  </sheetViews>
  <sheetFormatPr defaultColWidth="9.08203125" defaultRowHeight="17.35" zeroHeight="false" outlineLevelRow="0" outlineLevelCol="0"/>
  <cols>
    <col collapsed="false" customWidth="false" hidden="true" outlineLevel="0" max="4" min="1" style="1" width="9.12"/>
    <col collapsed="false" customWidth="true" hidden="false" outlineLevel="0" max="5" min="5" style="1" width="22.07"/>
    <col collapsed="false" customWidth="true" hidden="false" outlineLevel="0" max="6" min="6" style="1" width="10.78"/>
    <col collapsed="false" customWidth="true" hidden="false" outlineLevel="0" max="7" min="7" style="1" width="10.39"/>
    <col collapsed="false" customWidth="true" hidden="false" outlineLevel="0" max="8" min="8" style="1" width="11.18"/>
    <col collapsed="false" customWidth="true" hidden="true" outlineLevel="0" max="9" min="9" style="1" width="14.88"/>
    <col collapsed="false" customWidth="true" hidden="true" outlineLevel="0" max="10" min="10" style="1" width="14.4"/>
    <col collapsed="false" customWidth="true" hidden="false" outlineLevel="0" max="11" min="11" style="1" width="16.15"/>
    <col collapsed="false" customWidth="true" hidden="true" outlineLevel="0" max="12" min="12" style="1" width="5.91"/>
    <col collapsed="false" customWidth="true" hidden="false" outlineLevel="0" max="13" min="13" style="1" width="10.65"/>
    <col collapsed="false" customWidth="true" hidden="false" outlineLevel="0" max="14" min="14" style="1" width="13.3"/>
    <col collapsed="false" customWidth="true" hidden="false" outlineLevel="0" max="20" min="15" style="2" width="16.48"/>
    <col collapsed="false" customWidth="true" hidden="false" outlineLevel="0" max="21" min="21" style="1" width="1.6"/>
    <col collapsed="false" customWidth="true" hidden="false" outlineLevel="0" max="22" min="22" style="1" width="21.75"/>
    <col collapsed="false" customWidth="true" hidden="false" outlineLevel="0" max="23" min="23" style="1" width="4.68"/>
  </cols>
  <sheetData>
    <row r="1" customFormat="false" ht="13.5" hidden="false" customHeight="true" outlineLevel="0" collapsed="false"/>
    <row r="2" customFormat="false" ht="13.5" hidden="false" customHeight="true" outlineLevel="0" collapsed="false"/>
    <row r="3" customFormat="false" ht="24.85" hidden="false" customHeight="true" outlineLevel="0" collapsed="false">
      <c r="O3" s="3" t="str">
        <f aca="false">RIGHT(cp_recap!A1,8)</f>
        <v>03/09/24</v>
      </c>
      <c r="P3" s="3" t="str">
        <f aca="false">Recettes!B1</f>
        <v>Nature</v>
      </c>
      <c r="Q3" s="3" t="str">
        <f aca="false">Recettes!C1</f>
        <v>PE</v>
      </c>
      <c r="R3" s="3" t="s">
        <v>0</v>
      </c>
      <c r="S3" s="3" t="s">
        <v>1</v>
      </c>
      <c r="T3" s="3" t="s">
        <v>2</v>
      </c>
      <c r="U3" s="4"/>
      <c r="V3" s="3" t="n">
        <f aca="false">cp_recap!F3</f>
        <v>0</v>
      </c>
      <c r="W3" s="3" t="n">
        <f aca="false">cp_recap!G3</f>
        <v>0</v>
      </c>
    </row>
    <row r="4" customFormat="false" ht="24.85" hidden="false" customHeight="true" outlineLevel="0" collapsed="false">
      <c r="O4" s="3" t="s">
        <v>3</v>
      </c>
      <c r="P4" s="5" t="n">
        <f aca="false">Recettes!B2-Recettes!I2+Recettes!I6+Recettes!I7</f>
        <v>0</v>
      </c>
      <c r="Q4" s="5" t="n">
        <f aca="false">Recettes!C2</f>
        <v>0</v>
      </c>
      <c r="R4" s="3" t="n">
        <f aca="false">Recettes!K2</f>
        <v>0</v>
      </c>
      <c r="S4" s="3" t="n">
        <f aca="false">Recettes!G2</f>
        <v>0</v>
      </c>
      <c r="T4" s="3" t="n">
        <f aca="false">Recettes!E2</f>
        <v>0</v>
      </c>
      <c r="U4" s="4"/>
      <c r="V4" s="3" t="n">
        <f aca="false">cp_recap!F4</f>
        <v>0</v>
      </c>
      <c r="W4" s="3" t="n">
        <f aca="false">cp_recap!G4</f>
        <v>0</v>
      </c>
    </row>
    <row r="5" customFormat="false" ht="24.85" hidden="false" customHeight="true" outlineLevel="0" collapsed="false">
      <c r="O5" s="3" t="s">
        <v>4</v>
      </c>
      <c r="P5" s="5" t="n">
        <f aca="false">Recettes!B5</f>
        <v>0</v>
      </c>
      <c r="Q5" s="5"/>
      <c r="R5" s="5" t="n">
        <f aca="false">Recettes!K5</f>
        <v>0</v>
      </c>
      <c r="S5" s="3" t="str">
        <f aca="false">"Paton:"&amp;ROUND(Recettes!I5,0)</f>
        <v>Paton:0</v>
      </c>
      <c r="T5" s="5" t="n">
        <f aca="false">Recettes!E5</f>
        <v>0</v>
      </c>
      <c r="U5" s="4"/>
      <c r="V5" s="3" t="n">
        <f aca="false">cp_recap!F5</f>
        <v>0</v>
      </c>
      <c r="W5" s="3" t="n">
        <f aca="false">cp_recap!G5</f>
        <v>0</v>
      </c>
    </row>
    <row r="6" customFormat="false" ht="24.85" hidden="false" customHeight="true" outlineLevel="0" collapsed="false">
      <c r="O6" s="3" t="s">
        <v>5</v>
      </c>
      <c r="P6" s="5" t="n">
        <f aca="false">Recettes!B6</f>
        <v>0</v>
      </c>
      <c r="Q6" s="5" t="n">
        <f aca="false">Recettes!C6</f>
        <v>0</v>
      </c>
      <c r="R6" s="5" t="n">
        <f aca="false">Recettes!K6</f>
        <v>0</v>
      </c>
      <c r="S6" s="5" t="str">
        <f aca="false">"Graine:"&amp;Recettes!I6</f>
        <v>Graine:0</v>
      </c>
      <c r="T6" s="5" t="n">
        <f aca="false">Recettes!E6</f>
        <v>0</v>
      </c>
      <c r="U6" s="4"/>
      <c r="V6" s="3" t="n">
        <f aca="false">cp_recap!F6</f>
        <v>0</v>
      </c>
      <c r="W6" s="3" t="n">
        <f aca="false">cp_recap!G6</f>
        <v>0</v>
      </c>
    </row>
    <row r="7" customFormat="false" ht="24.85" hidden="false" customHeight="true" outlineLevel="0" collapsed="false">
      <c r="O7" s="3" t="s">
        <v>6</v>
      </c>
      <c r="P7" s="5" t="n">
        <f aca="false">Recettes!B7</f>
        <v>0</v>
      </c>
      <c r="Q7" s="5" t="n">
        <f aca="false">Recettes!C7</f>
        <v>0</v>
      </c>
      <c r="R7" s="5" t="n">
        <f aca="false">Recettes!K7</f>
        <v>0</v>
      </c>
      <c r="S7" s="5" t="n">
        <f aca="false">Recettes!I7</f>
        <v>0</v>
      </c>
      <c r="T7" s="5" t="n">
        <f aca="false">Recettes!E7</f>
        <v>0</v>
      </c>
      <c r="U7" s="4"/>
      <c r="V7" s="3" t="n">
        <f aca="false">cp_recap!F7</f>
        <v>0</v>
      </c>
      <c r="W7" s="3" t="n">
        <f aca="false">cp_recap!G7</f>
        <v>0</v>
      </c>
    </row>
    <row r="8" customFormat="false" ht="24.85" hidden="false" customHeight="true" outlineLevel="0" collapsed="false">
      <c r="O8" s="3" t="s">
        <v>7</v>
      </c>
      <c r="P8" s="5" t="n">
        <f aca="false">Recettes!B8</f>
        <v>0</v>
      </c>
      <c r="Q8" s="6" t="n">
        <f aca="false">Recettes!C8</f>
        <v>0</v>
      </c>
      <c r="R8" s="6" t="n">
        <f aca="false">Recettes!K8</f>
        <v>0</v>
      </c>
      <c r="S8" s="5"/>
      <c r="T8" s="5" t="n">
        <f aca="false">Recettes!E8</f>
        <v>0</v>
      </c>
      <c r="U8" s="4"/>
      <c r="V8" s="3" t="n">
        <f aca="false">cp_recap!F8</f>
        <v>0</v>
      </c>
      <c r="W8" s="3" t="n">
        <f aca="false">cp_recap!G8</f>
        <v>0</v>
      </c>
    </row>
    <row r="9" customFormat="false" ht="24.85" hidden="false" customHeight="true" outlineLevel="0" collapsed="false">
      <c r="O9" s="3" t="s">
        <v>8</v>
      </c>
      <c r="P9" s="5" t="n">
        <f aca="false">Recettes!B9</f>
        <v>0</v>
      </c>
      <c r="Q9" s="5" t="n">
        <f aca="false">Recettes!C9</f>
        <v>0</v>
      </c>
      <c r="R9" s="5" t="n">
        <f aca="false">Recettes!K9</f>
        <v>0</v>
      </c>
      <c r="S9" s="5"/>
      <c r="T9" s="5" t="n">
        <f aca="false">Recettes!E9</f>
        <v>0</v>
      </c>
      <c r="U9" s="4"/>
      <c r="V9" s="3" t="s">
        <v>9</v>
      </c>
      <c r="W9" s="3" t="n">
        <f aca="false">cp_recap!G9</f>
        <v>0</v>
      </c>
    </row>
    <row r="10" customFormat="false" ht="24.85" hidden="false" customHeight="true" outlineLevel="0" collapsed="false">
      <c r="O10" s="3"/>
      <c r="P10" s="3"/>
      <c r="Q10" s="3"/>
      <c r="R10" s="5" t="n">
        <f aca="false">Recettes!K10</f>
        <v>0</v>
      </c>
      <c r="S10" s="3" t="s">
        <v>10</v>
      </c>
      <c r="T10" s="5"/>
      <c r="U10" s="4"/>
      <c r="V10" s="3" t="n">
        <f aca="false">cp_recap!F10</f>
        <v>0</v>
      </c>
      <c r="W10" s="3" t="n">
        <f aca="false">cp_recap!G10</f>
        <v>0</v>
      </c>
    </row>
    <row r="11" customFormat="false" ht="24.85" hidden="false" customHeight="true" outlineLevel="0" collapsed="false">
      <c r="O11" s="3"/>
      <c r="P11" s="3"/>
      <c r="Q11" s="3"/>
      <c r="R11" s="5" t="n">
        <f aca="false">Recettes!K11</f>
        <v>0</v>
      </c>
      <c r="S11" s="3" t="s">
        <v>11</v>
      </c>
      <c r="T11" s="3"/>
      <c r="U11" s="4"/>
      <c r="V11" s="3" t="n">
        <f aca="false">cp_recap!F11</f>
        <v>0</v>
      </c>
      <c r="W11" s="3" t="n">
        <f aca="false">cp_recap!G11</f>
        <v>0</v>
      </c>
    </row>
    <row r="12" customFormat="false" ht="24.85" hidden="false" customHeight="true" outlineLevel="0" collapsed="false">
      <c r="O12" s="3"/>
      <c r="P12" s="3"/>
      <c r="Q12" s="3"/>
      <c r="R12" s="5" t="n">
        <f aca="false">Recettes!K12</f>
        <v>0</v>
      </c>
      <c r="S12" s="3" t="s">
        <v>12</v>
      </c>
      <c r="T12" s="3"/>
      <c r="U12" s="4"/>
      <c r="V12" s="3" t="n">
        <f aca="false">cp_recap!F12</f>
        <v>0</v>
      </c>
      <c r="W12" s="3" t="n">
        <f aca="false">cp_recap!G12</f>
        <v>0</v>
      </c>
    </row>
    <row r="13" customFormat="false" ht="24.85" hidden="false" customHeight="true" outlineLevel="0" collapsed="false">
      <c r="O13" s="3" t="s">
        <v>13</v>
      </c>
      <c r="P13" s="5" t="n">
        <f aca="false">Recettes!B15-Recettes!I5</f>
        <v>0</v>
      </c>
      <c r="Q13" s="5" t="n">
        <f aca="false">Recettes!C15</f>
        <v>0</v>
      </c>
      <c r="R13" s="5" t="n">
        <f aca="false">Recettes!K15</f>
        <v>0</v>
      </c>
      <c r="S13" s="5" t="n">
        <f aca="false">Recettes!I5+Recettes!I6+Recettes!I7</f>
        <v>0</v>
      </c>
      <c r="T13" s="5" t="n">
        <f aca="false">Recettes!E15</f>
        <v>0</v>
      </c>
      <c r="U13" s="4"/>
      <c r="V13" s="3" t="n">
        <f aca="false">cp_recap!F13</f>
        <v>0</v>
      </c>
      <c r="W13" s="3" t="n">
        <f aca="false">cp_recap!G13</f>
        <v>0</v>
      </c>
    </row>
    <row r="14" customFormat="false" ht="24.85" hidden="false" customHeight="true" outlineLevel="0" collapsed="false">
      <c r="O14" s="7" t="str">
        <f aca="false">"Total Eau : "&amp;ROUND(SUM($P$7:$T$7),0)</f>
        <v>Total Eau : 0</v>
      </c>
      <c r="P14" s="8"/>
      <c r="Q14" s="9" t="str">
        <f aca="false">"Total Levain : "&amp;ROUND($P$8+$Q$8+$T$8,0)</f>
        <v>Total Levain : 0</v>
      </c>
      <c r="R14" s="8"/>
      <c r="S14" s="8"/>
      <c r="T14" s="8"/>
      <c r="U14" s="9"/>
      <c r="V14" s="10"/>
      <c r="W14" s="10"/>
    </row>
    <row r="15" customFormat="false" ht="24.85" hidden="false" customHeight="true" outlineLevel="0" collapsed="false">
      <c r="O15" s="11" t="s">
        <v>14</v>
      </c>
      <c r="P15" s="12" t="s">
        <v>15</v>
      </c>
      <c r="Q15" s="11"/>
      <c r="R15" s="8" t="s">
        <v>16</v>
      </c>
      <c r="S15" s="8"/>
      <c r="T15" s="8"/>
      <c r="U15" s="9"/>
      <c r="V15" s="10"/>
      <c r="W15" s="10"/>
    </row>
    <row r="16" customFormat="false" ht="24.85" hidden="false" customHeight="true" outlineLevel="0" collapsed="false">
      <c r="O16" s="13" t="s">
        <v>17</v>
      </c>
      <c r="P16" s="12" t="s">
        <v>18</v>
      </c>
      <c r="Q16" s="11"/>
      <c r="R16" s="12" t="s">
        <v>19</v>
      </c>
      <c r="S16" s="8"/>
      <c r="T16" s="8"/>
      <c r="U16" s="9"/>
      <c r="V16" s="10"/>
      <c r="W16" s="10"/>
    </row>
    <row r="17" customFormat="false" ht="24.85" hidden="false" customHeight="true" outlineLevel="0" collapsed="false">
      <c r="O17" s="13" t="s">
        <v>20</v>
      </c>
      <c r="P17" s="14" t="s">
        <v>21</v>
      </c>
      <c r="Q17" s="11"/>
      <c r="R17" s="8"/>
      <c r="S17" s="8" t="s">
        <v>22</v>
      </c>
      <c r="T17" s="8"/>
      <c r="U17" s="9"/>
      <c r="V17" s="10" t="s">
        <v>23</v>
      </c>
      <c r="W17" s="10"/>
    </row>
    <row r="18" customFormat="false" ht="24.85" hidden="false" customHeight="true" outlineLevel="0" collapsed="false">
      <c r="O18" s="13" t="s">
        <v>24</v>
      </c>
      <c r="P18" s="11" t="n">
        <v>65</v>
      </c>
      <c r="Q18" s="11" t="n">
        <v>70</v>
      </c>
      <c r="R18" s="8" t="n">
        <v>65</v>
      </c>
      <c r="S18" s="8"/>
      <c r="T18" s="11" t="n">
        <v>65</v>
      </c>
      <c r="U18" s="9"/>
      <c r="V18" s="10"/>
      <c r="W18" s="10"/>
    </row>
    <row r="19" customFormat="false" ht="214.95" hidden="false" customHeight="true" outlineLevel="0" collapsed="false">
      <c r="P19" s="15"/>
    </row>
    <row r="20" customFormat="false" ht="24.95" hidden="false" customHeight="true" outlineLevel="0" collapsed="false">
      <c r="O20" s="16" t="str">
        <f aca="false">cp_recap!A3</f>
        <v>Méteil Nature 15% Seigle</v>
      </c>
      <c r="P20" s="17"/>
      <c r="Q20" s="18"/>
      <c r="R20" s="19" t="str">
        <f aca="false">cp_recap!B3</f>
        <v>batard</v>
      </c>
      <c r="S20" s="20" t="str">
        <f aca="false">cp_recap!C3</f>
        <v>600g</v>
      </c>
      <c r="T20" s="20" t="n">
        <f aca="false">cp_recap!D3</f>
        <v>0</v>
      </c>
      <c r="U20" s="21"/>
      <c r="V20" s="22" t="n">
        <v>700</v>
      </c>
    </row>
    <row r="21" customFormat="false" ht="24.95" hidden="false" customHeight="true" outlineLevel="0" collapsed="false">
      <c r="O21" s="23"/>
      <c r="P21" s="24"/>
      <c r="Q21" s="25"/>
      <c r="R21" s="26" t="str">
        <f aca="false">cp_recap!B4</f>
        <v>batard</v>
      </c>
      <c r="S21" s="27" t="str">
        <f aca="false">cp_recap!C4</f>
        <v>1kg</v>
      </c>
      <c r="T21" s="27" t="n">
        <f aca="false">cp_recap!D4</f>
        <v>0</v>
      </c>
      <c r="U21" s="28"/>
      <c r="V21" s="29" t="n">
        <v>1180</v>
      </c>
    </row>
    <row r="22" customFormat="false" ht="24.95" hidden="false" customHeight="true" outlineLevel="0" collapsed="false">
      <c r="O22" s="23"/>
      <c r="P22" s="24"/>
      <c r="Q22" s="25"/>
      <c r="R22" s="19" t="str">
        <f aca="false">cp_recap!B5</f>
        <v>batard</v>
      </c>
      <c r="S22" s="20" t="str">
        <f aca="false">cp_recap!C5</f>
        <v>1-5kg</v>
      </c>
      <c r="T22" s="20" t="n">
        <f aca="false">cp_recap!D5</f>
        <v>0</v>
      </c>
      <c r="U22" s="21"/>
      <c r="V22" s="22" t="n">
        <v>1800</v>
      </c>
    </row>
    <row r="23" customFormat="false" ht="24.95" hidden="false" customHeight="true" outlineLevel="0" collapsed="false">
      <c r="O23" s="23"/>
      <c r="P23" s="24"/>
      <c r="Q23" s="25"/>
      <c r="R23" s="26" t="str">
        <f aca="false">cp_recap!B6</f>
        <v>moule</v>
      </c>
      <c r="S23" s="27" t="str">
        <f aca="false">cp_recap!C6</f>
        <v>600g</v>
      </c>
      <c r="T23" s="27" t="n">
        <f aca="false">cp_recap!D6</f>
        <v>0</v>
      </c>
      <c r="U23" s="28"/>
      <c r="V23" s="29" t="n">
        <v>700</v>
      </c>
    </row>
    <row r="24" customFormat="false" ht="24.95" hidden="false" customHeight="true" outlineLevel="0" collapsed="false">
      <c r="O24" s="23"/>
      <c r="P24" s="24"/>
      <c r="Q24" s="25"/>
      <c r="R24" s="19" t="str">
        <f aca="false">cp_recap!B7</f>
        <v>moule</v>
      </c>
      <c r="S24" s="20" t="str">
        <f aca="false">cp_recap!C7</f>
        <v>800g</v>
      </c>
      <c r="T24" s="20" t="n">
        <f aca="false">cp_recap!D7</f>
        <v>0</v>
      </c>
      <c r="U24" s="21"/>
      <c r="V24" s="22" t="n">
        <v>900</v>
      </c>
    </row>
    <row r="25" customFormat="false" ht="24.95" hidden="false" customHeight="true" outlineLevel="0" collapsed="false">
      <c r="O25" s="30"/>
      <c r="P25" s="31"/>
      <c r="Q25" s="32"/>
      <c r="R25" s="26" t="str">
        <f aca="false">cp_recap!B8</f>
        <v>moule</v>
      </c>
      <c r="S25" s="27" t="str">
        <f aca="false">cp_recap!C8</f>
        <v>1kg</v>
      </c>
      <c r="T25" s="27" t="n">
        <f aca="false">cp_recap!D8</f>
        <v>0</v>
      </c>
      <c r="U25" s="28"/>
      <c r="V25" s="29" t="n">
        <v>1180</v>
      </c>
    </row>
    <row r="26" customFormat="false" ht="24.95" hidden="false" customHeight="true" outlineLevel="0" collapsed="false">
      <c r="O26" s="16" t="str">
        <f aca="false">cp_recap!A9</f>
        <v>Tournesol Toasté</v>
      </c>
      <c r="P26" s="17"/>
      <c r="Q26" s="33"/>
      <c r="R26" s="19" t="str">
        <f aca="false">cp_recap!B9</f>
        <v>moule</v>
      </c>
      <c r="S26" s="20" t="str">
        <f aca="false">cp_recap!C9</f>
        <v>520g</v>
      </c>
      <c r="T26" s="20" t="n">
        <f aca="false">cp_recap!D9</f>
        <v>0</v>
      </c>
      <c r="U26" s="21"/>
      <c r="V26" s="22" t="n">
        <v>600</v>
      </c>
    </row>
    <row r="27" customFormat="false" ht="24.95" hidden="false" customHeight="true" outlineLevel="0" collapsed="false">
      <c r="O27" s="30"/>
      <c r="P27" s="31"/>
      <c r="Q27" s="34"/>
      <c r="R27" s="26" t="str">
        <f aca="false">cp_recap!B10</f>
        <v>batard</v>
      </c>
      <c r="S27" s="27" t="str">
        <f aca="false">cp_recap!C10</f>
        <v>520g</v>
      </c>
      <c r="T27" s="27" t="n">
        <f aca="false">cp_recap!D10</f>
        <v>0</v>
      </c>
      <c r="U27" s="28"/>
      <c r="V27" s="29" t="n">
        <v>600</v>
      </c>
    </row>
    <row r="28" customFormat="false" ht="24.95" hidden="false" customHeight="true" outlineLevel="0" collapsed="false">
      <c r="O28" s="16" t="str">
        <f aca="false">cp_recap!A11</f>
        <v>Pain de mie végé</v>
      </c>
      <c r="P28" s="17"/>
      <c r="Q28" s="33"/>
      <c r="R28" s="19" t="str">
        <f aca="false">cp_recap!B11</f>
        <v>500g</v>
      </c>
      <c r="S28" s="20" t="n">
        <f aca="false">cp_recap!C11</f>
        <v>0</v>
      </c>
      <c r="T28" s="20" t="n">
        <f aca="false">cp_recap!D11</f>
        <v>0</v>
      </c>
      <c r="U28" s="21"/>
      <c r="V28" s="22" t="n">
        <v>570</v>
      </c>
    </row>
    <row r="29" customFormat="false" ht="24.95" hidden="false" customHeight="true" outlineLevel="0" collapsed="false">
      <c r="O29" s="23"/>
      <c r="P29" s="24"/>
      <c r="Q29" s="35"/>
      <c r="R29" s="26" t="str">
        <f aca="false">cp_recap!B12</f>
        <v>1kg</v>
      </c>
      <c r="S29" s="27" t="n">
        <f aca="false">cp_recap!C12</f>
        <v>0</v>
      </c>
      <c r="T29" s="27" t="n">
        <f aca="false">cp_recap!D12</f>
        <v>0</v>
      </c>
      <c r="U29" s="28"/>
      <c r="V29" s="29" t="n">
        <v>1180</v>
      </c>
    </row>
    <row r="30" customFormat="false" ht="24.95" hidden="false" customHeight="true" outlineLevel="0" collapsed="false">
      <c r="O30" s="30"/>
      <c r="P30" s="31"/>
      <c r="Q30" s="34"/>
      <c r="R30" s="19" t="str">
        <f aca="false">cp_recap!B13</f>
        <v>1-5kg</v>
      </c>
      <c r="S30" s="20" t="n">
        <f aca="false">cp_recap!C13</f>
        <v>0</v>
      </c>
      <c r="T30" s="20" t="n">
        <f aca="false">cp_recap!D13</f>
        <v>0</v>
      </c>
      <c r="U30" s="21"/>
      <c r="V30" s="22" t="n">
        <v>1650</v>
      </c>
    </row>
    <row r="31" customFormat="false" ht="24.95" hidden="false" customHeight="true" outlineLevel="0" collapsed="false">
      <c r="O31" s="16" t="str">
        <f aca="false">cp_recap!A14</f>
        <v>Moulé Petit Epeautre</v>
      </c>
      <c r="P31" s="17"/>
      <c r="Q31" s="33"/>
      <c r="R31" s="26" t="str">
        <f aca="false">cp_recap!B14</f>
        <v>300g</v>
      </c>
      <c r="S31" s="27" t="n">
        <f aca="false">cp_recap!C14</f>
        <v>0</v>
      </c>
      <c r="T31" s="27" t="n">
        <f aca="false">cp_recap!D14</f>
        <v>0</v>
      </c>
      <c r="U31" s="28"/>
      <c r="V31" s="29" t="n">
        <v>350</v>
      </c>
    </row>
    <row r="32" customFormat="false" ht="24.95" hidden="false" customHeight="true" outlineLevel="0" collapsed="false">
      <c r="O32" s="23"/>
      <c r="P32" s="24"/>
      <c r="Q32" s="35"/>
      <c r="R32" s="19" t="str">
        <f aca="false">cp_recap!B15</f>
        <v>600g</v>
      </c>
      <c r="S32" s="20" t="n">
        <f aca="false">cp_recap!C15</f>
        <v>0</v>
      </c>
      <c r="T32" s="20" t="n">
        <f aca="false">cp_recap!D15</f>
        <v>0</v>
      </c>
      <c r="U32" s="21"/>
      <c r="V32" s="22" t="n">
        <v>700</v>
      </c>
    </row>
    <row r="33" customFormat="false" ht="24.95" hidden="false" customHeight="true" outlineLevel="0" collapsed="false">
      <c r="O33" s="30"/>
      <c r="P33" s="31"/>
      <c r="Q33" s="34"/>
      <c r="R33" s="26" t="str">
        <f aca="false">cp_recap!B16</f>
        <v>1kg</v>
      </c>
      <c r="S33" s="27" t="n">
        <f aca="false">cp_recap!C16</f>
        <v>0</v>
      </c>
      <c r="T33" s="27" t="n">
        <f aca="false">cp_recap!D16</f>
        <v>0</v>
      </c>
      <c r="U33" s="28"/>
      <c r="V33" s="29" t="n">
        <v>1180</v>
      </c>
    </row>
    <row r="34" customFormat="false" ht="24.95" hidden="false" customHeight="true" outlineLevel="0" collapsed="false">
      <c r="O34" s="16" t="str">
        <f aca="false">cp_recap!A17</f>
        <v>Semi complet Nature</v>
      </c>
      <c r="P34" s="17"/>
      <c r="Q34" s="33"/>
      <c r="R34" s="19" t="str">
        <f aca="false">cp_recap!B17</f>
        <v>batard</v>
      </c>
      <c r="S34" s="20" t="str">
        <f aca="false">cp_recap!C17</f>
        <v>520g</v>
      </c>
      <c r="T34" s="20" t="n">
        <f aca="false">cp_recap!D17</f>
        <v>0</v>
      </c>
      <c r="U34" s="21"/>
      <c r="V34" s="22" t="n">
        <v>600</v>
      </c>
    </row>
    <row r="35" customFormat="false" ht="24.95" hidden="false" customHeight="true" outlineLevel="0" collapsed="false">
      <c r="O35" s="23"/>
      <c r="P35" s="24"/>
      <c r="Q35" s="35"/>
      <c r="R35" s="26" t="str">
        <f aca="false">cp_recap!B18</f>
        <v>batard</v>
      </c>
      <c r="S35" s="27" t="str">
        <f aca="false">cp_recap!C18</f>
        <v>1kg</v>
      </c>
      <c r="T35" s="27" t="n">
        <f aca="false">cp_recap!D18</f>
        <v>0</v>
      </c>
      <c r="U35" s="28"/>
      <c r="V35" s="29" t="n">
        <v>1180</v>
      </c>
    </row>
    <row r="36" customFormat="false" ht="24.95" hidden="false" customHeight="true" outlineLevel="0" collapsed="false">
      <c r="O36" s="23"/>
      <c r="P36" s="24"/>
      <c r="Q36" s="35"/>
      <c r="R36" s="19" t="str">
        <f aca="false">cp_recap!B19</f>
        <v>batard</v>
      </c>
      <c r="S36" s="20" t="str">
        <f aca="false">cp_recap!C19</f>
        <v>1-5kg</v>
      </c>
      <c r="T36" s="20" t="n">
        <f aca="false">cp_recap!D19</f>
        <v>0</v>
      </c>
      <c r="U36" s="21"/>
      <c r="V36" s="22" t="n">
        <v>1800</v>
      </c>
    </row>
    <row r="37" customFormat="false" ht="24.95" hidden="false" customHeight="true" outlineLevel="0" collapsed="false">
      <c r="H37" s="36"/>
      <c r="K37" s="37"/>
      <c r="O37" s="23"/>
      <c r="P37" s="24"/>
      <c r="Q37" s="35"/>
      <c r="R37" s="26" t="str">
        <f aca="false">cp_recap!B20</f>
        <v>moule</v>
      </c>
      <c r="S37" s="27" t="str">
        <f aca="false">cp_recap!C20</f>
        <v>520g</v>
      </c>
      <c r="T37" s="27" t="n">
        <f aca="false">cp_recap!D20</f>
        <v>0</v>
      </c>
      <c r="U37" s="28"/>
      <c r="V37" s="29" t="n">
        <v>600</v>
      </c>
    </row>
    <row r="38" customFormat="false" ht="24.95" hidden="false" customHeight="true" outlineLevel="0" collapsed="false">
      <c r="H38" s="36"/>
      <c r="K38" s="37"/>
      <c r="O38" s="23"/>
      <c r="P38" s="24"/>
      <c r="Q38" s="35"/>
      <c r="R38" s="19" t="str">
        <f aca="false">cp_recap!B21</f>
        <v>moule</v>
      </c>
      <c r="S38" s="20" t="str">
        <f aca="false">cp_recap!C21</f>
        <v>800g</v>
      </c>
      <c r="T38" s="20" t="n">
        <f aca="false">cp_recap!D21</f>
        <v>0</v>
      </c>
      <c r="U38" s="21"/>
      <c r="V38" s="22" t="n">
        <v>900</v>
      </c>
    </row>
    <row r="39" customFormat="false" ht="24.95" hidden="false" customHeight="true" outlineLevel="0" collapsed="false">
      <c r="H39" s="36"/>
      <c r="K39" s="37"/>
      <c r="O39" s="30"/>
      <c r="P39" s="31"/>
      <c r="Q39" s="34"/>
      <c r="R39" s="26" t="str">
        <f aca="false">cp_recap!B22</f>
        <v>moule</v>
      </c>
      <c r="S39" s="27" t="str">
        <f aca="false">cp_recap!C22</f>
        <v>1kg</v>
      </c>
      <c r="T39" s="27" t="n">
        <f aca="false">cp_recap!D22</f>
        <v>0</v>
      </c>
      <c r="U39" s="28"/>
      <c r="V39" s="29" t="n">
        <v>1180</v>
      </c>
    </row>
    <row r="40" customFormat="false" ht="13.5" hidden="false" customHeight="true" outlineLevel="0" collapsed="false">
      <c r="H40" s="36"/>
      <c r="K40" s="37"/>
    </row>
    <row r="41" customFormat="false" ht="13.5" hidden="false" customHeight="true" outlineLevel="0" collapsed="false">
      <c r="H41" s="36"/>
      <c r="K41" s="37"/>
    </row>
    <row r="42" customFormat="false" ht="13.5" hidden="false" customHeight="true" outlineLevel="0" collapsed="false">
      <c r="H42" s="36"/>
    </row>
  </sheetData>
  <printOptions headings="false" gridLines="false" gridLinesSet="true" horizontalCentered="false" verticalCentered="false"/>
  <pageMargins left="0.196527777777778" right="0.196527777777778" top="0.472222222222222" bottom="0.472222222222222" header="0.196527777777778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38"/>
  <sheetViews>
    <sheetView showFormulas="false" showGridLines="true" showRowColHeaders="true" showZeros="true" rightToLeft="false" tabSelected="false" showOutlineSymbols="true" defaultGridColor="true" view="normal" topLeftCell="A1" colorId="64" zoomScale="84" zoomScaleNormal="84" zoomScalePageLayoutView="100" workbookViewId="0">
      <selection pane="topLeft" activeCell="D12" activeCellId="0" sqref="D12"/>
    </sheetView>
  </sheetViews>
  <sheetFormatPr defaultColWidth="9.08203125" defaultRowHeight="13.8" zeroHeight="false" outlineLevelRow="0" outlineLevelCol="0"/>
  <cols>
    <col collapsed="false" customWidth="true" hidden="false" outlineLevel="0" max="1" min="1" style="1" width="26.75"/>
    <col collapsed="false" customWidth="true" hidden="false" outlineLevel="0" max="2" min="2" style="1" width="17.61"/>
    <col collapsed="false" customWidth="true" hidden="false" outlineLevel="0" max="3" min="3" style="1" width="13.53"/>
    <col collapsed="false" customWidth="false" hidden="false" outlineLevel="0" max="4" min="4" style="1" width="9.08"/>
    <col collapsed="false" customWidth="true" hidden="false" outlineLevel="0" max="5" min="5" style="1" width="8.18"/>
    <col collapsed="false" customWidth="true" hidden="false" outlineLevel="0" max="6" min="6" style="1" width="4.52"/>
    <col collapsed="false" customWidth="true" hidden="false" outlineLevel="0" max="8" min="7" style="1" width="19.56"/>
    <col collapsed="false" customWidth="true" hidden="false" outlineLevel="0" max="9" min="9" style="1" width="2.5"/>
  </cols>
  <sheetData>
    <row r="1" customFormat="false" ht="14.25" hidden="false" customHeight="true" outlineLevel="0" collapsed="false">
      <c r="A1" s="1" t="s">
        <v>25</v>
      </c>
    </row>
    <row r="2" customFormat="false" ht="14.25" hidden="false" customHeight="true" outlineLevel="0" collapsed="false">
      <c r="A2" s="1" t="s">
        <v>26</v>
      </c>
      <c r="B2" s="1" t="s">
        <v>27</v>
      </c>
      <c r="C2" s="1" t="s">
        <v>28</v>
      </c>
      <c r="D2" s="1" t="s">
        <v>29</v>
      </c>
      <c r="E2" s="1" t="s">
        <v>30</v>
      </c>
    </row>
    <row r="3" customFormat="false" ht="13.5" hidden="false" customHeight="true" outlineLevel="0" collapsed="false">
      <c r="A3" s="1" t="s">
        <v>31</v>
      </c>
      <c r="B3" s="1" t="s">
        <v>32</v>
      </c>
      <c r="C3" s="1" t="s">
        <v>33</v>
      </c>
      <c r="E3" s="1" t="n">
        <f aca="false">D3*0.6</f>
        <v>0</v>
      </c>
    </row>
    <row r="4" customFormat="false" ht="13.5" hidden="false" customHeight="true" outlineLevel="0" collapsed="false">
      <c r="A4" s="1" t="s">
        <v>31</v>
      </c>
      <c r="B4" s="1" t="s">
        <v>32</v>
      </c>
      <c r="C4" s="1" t="s">
        <v>34</v>
      </c>
      <c r="E4" s="1" t="n">
        <f aca="false">D4*1</f>
        <v>0</v>
      </c>
    </row>
    <row r="5" customFormat="false" ht="13.5" hidden="false" customHeight="true" outlineLevel="0" collapsed="false">
      <c r="A5" s="1" t="s">
        <v>31</v>
      </c>
      <c r="B5" s="1" t="s">
        <v>32</v>
      </c>
      <c r="C5" s="1" t="s">
        <v>35</v>
      </c>
      <c r="E5" s="1" t="n">
        <f aca="false">D5*1.5</f>
        <v>0</v>
      </c>
    </row>
    <row r="6" customFormat="false" ht="13.5" hidden="false" customHeight="true" outlineLevel="0" collapsed="false">
      <c r="A6" s="1" t="s">
        <v>31</v>
      </c>
      <c r="B6" s="1" t="s">
        <v>36</v>
      </c>
      <c r="C6" s="1" t="s">
        <v>33</v>
      </c>
      <c r="E6" s="1" t="n">
        <f aca="false">D6*0.6</f>
        <v>0</v>
      </c>
    </row>
    <row r="7" customFormat="false" ht="13.5" hidden="false" customHeight="true" outlineLevel="0" collapsed="false">
      <c r="A7" s="1" t="s">
        <v>31</v>
      </c>
      <c r="B7" s="1" t="s">
        <v>36</v>
      </c>
      <c r="C7" s="1" t="s">
        <v>37</v>
      </c>
      <c r="E7" s="1" t="n">
        <f aca="false">D7*0.8</f>
        <v>0</v>
      </c>
    </row>
    <row r="8" customFormat="false" ht="13.5" hidden="false" customHeight="true" outlineLevel="0" collapsed="false">
      <c r="A8" s="1" t="s">
        <v>31</v>
      </c>
      <c r="B8" s="1" t="s">
        <v>36</v>
      </c>
      <c r="C8" s="1" t="s">
        <v>34</v>
      </c>
      <c r="E8" s="1" t="n">
        <f aca="false">D8*1</f>
        <v>0</v>
      </c>
    </row>
    <row r="9" customFormat="false" ht="13.5" hidden="false" customHeight="true" outlineLevel="0" collapsed="false">
      <c r="A9" s="1" t="s">
        <v>38</v>
      </c>
      <c r="B9" s="1" t="s">
        <v>36</v>
      </c>
      <c r="C9" s="1" t="s">
        <v>39</v>
      </c>
      <c r="E9" s="1" t="n">
        <f aca="false">D9*0.52</f>
        <v>0</v>
      </c>
    </row>
    <row r="10" customFormat="false" ht="13.5" hidden="false" customHeight="true" outlineLevel="0" collapsed="false">
      <c r="A10" s="1" t="s">
        <v>38</v>
      </c>
      <c r="B10" s="1" t="s">
        <v>32</v>
      </c>
      <c r="C10" s="1" t="s">
        <v>39</v>
      </c>
      <c r="E10" s="1" t="n">
        <f aca="false">D10*0.52</f>
        <v>0</v>
      </c>
    </row>
    <row r="11" customFormat="false" ht="13.5" hidden="false" customHeight="true" outlineLevel="0" collapsed="false">
      <c r="A11" s="1" t="s">
        <v>40</v>
      </c>
      <c r="B11" s="1" t="s">
        <v>41</v>
      </c>
      <c r="E11" s="1" t="n">
        <f aca="false">D11*0.5</f>
        <v>0</v>
      </c>
    </row>
    <row r="12" customFormat="false" ht="13.5" hidden="false" customHeight="true" outlineLevel="0" collapsed="false">
      <c r="A12" s="1" t="s">
        <v>40</v>
      </c>
      <c r="B12" s="1" t="s">
        <v>34</v>
      </c>
      <c r="E12" s="1" t="n">
        <f aca="false">D12*1</f>
        <v>0</v>
      </c>
    </row>
    <row r="13" customFormat="false" ht="13.5" hidden="false" customHeight="true" outlineLevel="0" collapsed="false">
      <c r="A13" s="1" t="s">
        <v>40</v>
      </c>
      <c r="B13" s="1" t="s">
        <v>35</v>
      </c>
      <c r="E13" s="1" t="n">
        <f aca="false">D13*1.5</f>
        <v>0</v>
      </c>
    </row>
    <row r="14" customFormat="false" ht="13.5" hidden="false" customHeight="true" outlineLevel="0" collapsed="false">
      <c r="A14" s="1" t="s">
        <v>42</v>
      </c>
      <c r="B14" s="1" t="s">
        <v>43</v>
      </c>
      <c r="E14" s="1" t="n">
        <f aca="false">D14*0.3</f>
        <v>0</v>
      </c>
    </row>
    <row r="15" customFormat="false" ht="13.5" hidden="false" customHeight="true" outlineLevel="0" collapsed="false">
      <c r="A15" s="1" t="s">
        <v>42</v>
      </c>
      <c r="B15" s="1" t="s">
        <v>33</v>
      </c>
      <c r="E15" s="1" t="n">
        <f aca="false">D15*0.6</f>
        <v>0</v>
      </c>
    </row>
    <row r="16" customFormat="false" ht="13.5" hidden="false" customHeight="true" outlineLevel="0" collapsed="false">
      <c r="A16" s="1" t="s">
        <v>42</v>
      </c>
      <c r="B16" s="1" t="s">
        <v>34</v>
      </c>
      <c r="E16" s="1" t="n">
        <f aca="false">D16*1</f>
        <v>0</v>
      </c>
    </row>
    <row r="17" customFormat="false" ht="14.25" hidden="false" customHeight="true" outlineLevel="0" collapsed="false">
      <c r="A17" s="1" t="s">
        <v>44</v>
      </c>
      <c r="B17" s="1" t="s">
        <v>32</v>
      </c>
      <c r="C17" s="1" t="s">
        <v>39</v>
      </c>
      <c r="E17" s="1" t="n">
        <f aca="false">D17*0.52</f>
        <v>0</v>
      </c>
    </row>
    <row r="18" customFormat="false" ht="13.5" hidden="false" customHeight="true" outlineLevel="0" collapsed="false">
      <c r="A18" s="1" t="s">
        <v>44</v>
      </c>
      <c r="B18" s="1" t="s">
        <v>32</v>
      </c>
      <c r="C18" s="1" t="s">
        <v>34</v>
      </c>
      <c r="E18" s="1" t="n">
        <f aca="false">D18*1</f>
        <v>0</v>
      </c>
    </row>
    <row r="19" customFormat="false" ht="13.5" hidden="false" customHeight="true" outlineLevel="0" collapsed="false">
      <c r="A19" s="1" t="s">
        <v>44</v>
      </c>
      <c r="B19" s="1" t="s">
        <v>32</v>
      </c>
      <c r="C19" s="1" t="s">
        <v>35</v>
      </c>
      <c r="E19" s="1" t="n">
        <f aca="false">D19*1.5</f>
        <v>0</v>
      </c>
    </row>
    <row r="20" customFormat="false" ht="13.5" hidden="false" customHeight="true" outlineLevel="0" collapsed="false">
      <c r="A20" s="1" t="s">
        <v>44</v>
      </c>
      <c r="B20" s="1" t="s">
        <v>36</v>
      </c>
      <c r="C20" s="1" t="s">
        <v>39</v>
      </c>
      <c r="E20" s="1" t="n">
        <f aca="false">D20*0.52</f>
        <v>0</v>
      </c>
    </row>
    <row r="21" customFormat="false" ht="13.5" hidden="false" customHeight="true" outlineLevel="0" collapsed="false">
      <c r="A21" s="1" t="s">
        <v>44</v>
      </c>
      <c r="B21" s="1" t="s">
        <v>36</v>
      </c>
      <c r="C21" s="1" t="s">
        <v>37</v>
      </c>
      <c r="E21" s="1" t="n">
        <f aca="false">D21*0.8</f>
        <v>0</v>
      </c>
    </row>
    <row r="22" customFormat="false" ht="13.5" hidden="false" customHeight="true" outlineLevel="0" collapsed="false">
      <c r="A22" s="1" t="s">
        <v>44</v>
      </c>
      <c r="B22" s="1" t="s">
        <v>36</v>
      </c>
      <c r="C22" s="1" t="s">
        <v>34</v>
      </c>
      <c r="E22" s="1" t="n">
        <f aca="false">D22*1</f>
        <v>0</v>
      </c>
    </row>
    <row r="23" customFormat="false" ht="13.5" hidden="false" customHeight="true" outlineLevel="0" collapsed="false"/>
    <row r="24" customFormat="false" ht="13.5" hidden="false" customHeight="true" outlineLevel="0" collapsed="false"/>
    <row r="25" customFormat="false" ht="13.5" hidden="false" customHeight="true" outlineLevel="0" collapsed="false"/>
    <row r="26" customFormat="false" ht="13.5" hidden="false" customHeight="true" outlineLevel="0" collapsed="false"/>
    <row r="27" customFormat="false" ht="13.5" hidden="false" customHeight="true" outlineLevel="0" collapsed="false"/>
    <row r="28" customFormat="false" ht="13.5" hidden="false" customHeight="true" outlineLevel="0" collapsed="false"/>
    <row r="29" customFormat="false" ht="13.5" hidden="false" customHeight="true" outlineLevel="0" collapsed="false"/>
    <row r="30" customFormat="false" ht="13.5" hidden="false" customHeight="true" outlineLevel="0" collapsed="false"/>
    <row r="31" customFormat="false" ht="13.5" hidden="false" customHeight="true" outlineLevel="0" collapsed="false"/>
    <row r="32" customFormat="false" ht="13.5" hidden="false" customHeight="true" outlineLevel="0" collapsed="false">
      <c r="M32" s="37"/>
      <c r="P32" s="37"/>
    </row>
    <row r="33" customFormat="false" ht="13.5" hidden="false" customHeight="true" outlineLevel="0" collapsed="false">
      <c r="M33" s="37"/>
      <c r="P33" s="37"/>
    </row>
    <row r="34" customFormat="false" ht="13.5" hidden="false" customHeight="true" outlineLevel="0" collapsed="false">
      <c r="M34" s="37"/>
      <c r="P34" s="37"/>
    </row>
    <row r="35" customFormat="false" ht="13.5" hidden="false" customHeight="true" outlineLevel="0" collapsed="false">
      <c r="M35" s="37"/>
      <c r="P35" s="37"/>
    </row>
    <row r="36" customFormat="false" ht="13.5" hidden="false" customHeight="true" outlineLevel="0" collapsed="false">
      <c r="M36" s="37"/>
      <c r="P36" s="37"/>
    </row>
    <row r="37" customFormat="false" ht="13.5" hidden="false" customHeight="true" outlineLevel="0" collapsed="false">
      <c r="J37" s="36"/>
    </row>
    <row r="38" customFormat="false" ht="13.5" hidden="false" customHeight="true" outlineLevel="0" collapsed="false"/>
  </sheetData>
  <printOptions headings="false" gridLines="false" gridLinesSet="true" horizontalCentered="false" verticalCentered="false"/>
  <pageMargins left="0.7875" right="0.7875" top="1.06319444444444" bottom="1.06319444444444" header="0.7875" footer="0.78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W49"/>
  <sheetViews>
    <sheetView showFormulas="false" showGridLines="true" showRowColHeaders="true" showZeros="true" rightToLeft="false" tabSelected="false" showOutlineSymbols="true" defaultGridColor="true" view="normal" topLeftCell="A1" colorId="64" zoomScale="84" zoomScaleNormal="84" zoomScalePageLayoutView="100" workbookViewId="0">
      <selection pane="topLeft" activeCell="U37" activeCellId="0" sqref="U37"/>
    </sheetView>
  </sheetViews>
  <sheetFormatPr defaultColWidth="9.08203125" defaultRowHeight="14.25" zeroHeight="false" outlineLevelRow="0" outlineLevelCol="0"/>
  <cols>
    <col collapsed="false" customWidth="false" hidden="false" outlineLevel="0" max="6" min="1" style="1" width="9.08"/>
    <col collapsed="false" customWidth="true" hidden="false" outlineLevel="0" max="7" min="7" style="1" width="7.77"/>
    <col collapsed="false" customWidth="false" hidden="false" outlineLevel="0" max="8" min="8" style="1" width="9.08"/>
    <col collapsed="false" customWidth="true" hidden="false" outlineLevel="0" max="9" min="9" style="1" width="11.95"/>
    <col collapsed="false" customWidth="false" hidden="false" outlineLevel="0" max="14" min="10" style="1" width="9.08"/>
    <col collapsed="false" customWidth="true" hidden="false" outlineLevel="0" max="15" min="15" style="1" width="10.64"/>
  </cols>
  <sheetData>
    <row r="1" customFormat="false" ht="14.25" hidden="false" customHeight="true" outlineLevel="0" collapsed="false">
      <c r="B1" s="1" t="s">
        <v>45</v>
      </c>
      <c r="C1" s="1" t="s">
        <v>46</v>
      </c>
      <c r="D1" s="1" t="s">
        <v>1</v>
      </c>
      <c r="E1" s="1" t="s">
        <v>2</v>
      </c>
      <c r="G1" s="1" t="s">
        <v>47</v>
      </c>
      <c r="H1" s="1" t="s">
        <v>48</v>
      </c>
      <c r="I1" s="38" t="s">
        <v>49</v>
      </c>
      <c r="K1" s="1" t="s">
        <v>50</v>
      </c>
      <c r="L1" s="1" t="s">
        <v>51</v>
      </c>
      <c r="Q1" s="1" t="n">
        <f aca="false">685*I2/650</f>
        <v>0</v>
      </c>
      <c r="T1" s="38" t="s">
        <v>45</v>
      </c>
      <c r="U1" s="38" t="s">
        <v>2</v>
      </c>
    </row>
    <row r="2" customFormat="false" ht="14.25" hidden="false" customHeight="true" outlineLevel="0" collapsed="false">
      <c r="A2" s="1" t="s">
        <v>3</v>
      </c>
      <c r="B2" s="39" t="n">
        <f aca="false">SUM(cp_recap!E17:E22)*1000+(I2-I6-I7)</f>
        <v>0</v>
      </c>
      <c r="C2" s="39" t="n">
        <f aca="false">SUM(cp_recap!E14:E16)*1000</f>
        <v>0</v>
      </c>
      <c r="E2" s="39" t="n">
        <f aca="false">SUM(cp_recap!E3:E8)*1000</f>
        <v>0</v>
      </c>
      <c r="G2" s="1" t="n">
        <f aca="false">SUM(cp_recap!E9:E10)*1000</f>
        <v>0</v>
      </c>
      <c r="H2" s="1" t="n">
        <f aca="false">G2+B2</f>
        <v>0</v>
      </c>
      <c r="I2" s="38" t="n">
        <f aca="false">SUM(cp_recap!E9:E10)*1000</f>
        <v>0</v>
      </c>
      <c r="K2" s="39" t="n">
        <f aca="false">(SUM(cp_recap!E11:E13)*1000)</f>
        <v>0</v>
      </c>
      <c r="L2" s="1" t="n">
        <f aca="false">cp_recap!D20*1000</f>
        <v>0</v>
      </c>
      <c r="N2" s="1" t="s">
        <v>52</v>
      </c>
      <c r="O2" s="1" t="n">
        <f aca="false">B2+C2+E2+I6+K2</f>
        <v>0</v>
      </c>
      <c r="T2" s="38" t="n">
        <v>4250</v>
      </c>
      <c r="U2" s="38" t="n">
        <v>3400</v>
      </c>
    </row>
    <row r="3" customFormat="false" ht="14.25" hidden="false" customHeight="true" outlineLevel="0" collapsed="false">
      <c r="B3" s="40"/>
      <c r="C3" s="40"/>
      <c r="D3" s="40"/>
      <c r="E3" s="40"/>
      <c r="F3" s="40"/>
      <c r="G3" s="40"/>
      <c r="H3" s="40"/>
      <c r="I3" s="38"/>
      <c r="K3" s="40"/>
      <c r="L3" s="40"/>
      <c r="N3" s="1" t="s">
        <v>53</v>
      </c>
      <c r="O3" s="1" t="n">
        <f aca="false">SUM(cp_recap!E3:E22)*1000</f>
        <v>0</v>
      </c>
      <c r="T3" s="41"/>
      <c r="U3" s="41"/>
    </row>
    <row r="4" customFormat="false" ht="14.25" hidden="false" customHeight="true" outlineLevel="0" collapsed="false">
      <c r="I4" s="38"/>
      <c r="L4" s="40"/>
      <c r="T4" s="41"/>
      <c r="U4" s="41"/>
    </row>
    <row r="5" customFormat="false" ht="14.25" hidden="false" customHeight="true" outlineLevel="0" collapsed="false">
      <c r="A5" s="1" t="s">
        <v>54</v>
      </c>
      <c r="B5" s="40"/>
      <c r="C5" s="40" t="n">
        <f aca="false">$C4/I$19*I$20</f>
        <v>0</v>
      </c>
      <c r="D5" s="40" t="n">
        <f aca="false">$D4/J$19*J$20</f>
        <v>0</v>
      </c>
      <c r="E5" s="40" t="n">
        <f aca="false">$E$2/$U$2*U5</f>
        <v>0</v>
      </c>
      <c r="G5" s="40" t="n">
        <f aca="false">$G2/L$19*L$22</f>
        <v>0</v>
      </c>
      <c r="H5" s="40" t="n">
        <f aca="false">G5+B5</f>
        <v>0</v>
      </c>
      <c r="I5" s="42" t="n">
        <f aca="false">693*I2/650</f>
        <v>0</v>
      </c>
      <c r="J5" s="38" t="s">
        <v>55</v>
      </c>
      <c r="L5" s="40" t="n">
        <f aca="false">$L$2/$P$19*P22</f>
        <v>0</v>
      </c>
      <c r="T5" s="41"/>
      <c r="U5" s="38" t="n">
        <v>377</v>
      </c>
    </row>
    <row r="6" customFormat="false" ht="14.25" hidden="false" customHeight="true" outlineLevel="0" collapsed="false">
      <c r="A6" s="1" t="s">
        <v>56</v>
      </c>
      <c r="B6" s="40" t="n">
        <f aca="false">$B$2/$T$2*T6</f>
        <v>0</v>
      </c>
      <c r="C6" s="40" t="n">
        <f aca="false">$C$2/I$19*I$23</f>
        <v>0</v>
      </c>
      <c r="D6" s="40" t="n">
        <f aca="false">D$2/J$19*J$23</f>
        <v>0</v>
      </c>
      <c r="E6" s="40" t="n">
        <f aca="false">$E$2/$U$2*U6</f>
        <v>0</v>
      </c>
      <c r="F6" s="40"/>
      <c r="G6" s="40" t="n">
        <f aca="false">G$2/L$19*L$23</f>
        <v>0</v>
      </c>
      <c r="H6" s="40" t="n">
        <f aca="false">G6+B6</f>
        <v>0</v>
      </c>
      <c r="I6" s="38" t="n">
        <f aca="false">0.1*I2</f>
        <v>0</v>
      </c>
      <c r="J6" s="38" t="s">
        <v>57</v>
      </c>
      <c r="K6" s="40" t="n">
        <f aca="false">$K$2/$O$19*O23</f>
        <v>0</v>
      </c>
      <c r="L6" s="40" t="n">
        <f aca="false">$L$2/$P$19*P23</f>
        <v>0</v>
      </c>
      <c r="T6" s="38" t="n">
        <v>3183</v>
      </c>
      <c r="U6" s="38" t="n">
        <v>2134</v>
      </c>
    </row>
    <row r="7" customFormat="false" ht="14.25" hidden="false" customHeight="true" outlineLevel="0" collapsed="false">
      <c r="A7" s="1" t="s">
        <v>6</v>
      </c>
      <c r="B7" s="40" t="n">
        <f aca="false">$B$2/$T$2*T7</f>
        <v>0</v>
      </c>
      <c r="C7" s="40" t="n">
        <f aca="false">$C$2/I$19*I$24</f>
        <v>0</v>
      </c>
      <c r="D7" s="40" t="n">
        <f aca="false">D$2/J$19*J$24</f>
        <v>0</v>
      </c>
      <c r="E7" s="40" t="n">
        <f aca="false">$E$2/$U$2*U7</f>
        <v>0</v>
      </c>
      <c r="F7" s="40"/>
      <c r="G7" s="40" t="n">
        <f aca="false">G$2/L$19*L$24</f>
        <v>0</v>
      </c>
      <c r="H7" s="40" t="n">
        <f aca="false">B7+G7-I7</f>
        <v>0</v>
      </c>
      <c r="I7" s="42" t="n">
        <f aca="false">ROUND(7*I2/650+0.007*I5,0)*2</f>
        <v>0</v>
      </c>
      <c r="J7" s="38" t="s">
        <v>6</v>
      </c>
      <c r="K7" s="40" t="n">
        <f aca="false">$K$2/$O$19*O24</f>
        <v>0</v>
      </c>
      <c r="L7" s="40" t="n">
        <f aca="false">$L$2/$P$19*P24</f>
        <v>0</v>
      </c>
      <c r="S7" s="1" t="n">
        <f aca="false">T7/T6</f>
        <v>0.550109959158027</v>
      </c>
      <c r="T7" s="38" t="n">
        <v>1751</v>
      </c>
      <c r="U7" s="38" t="n">
        <v>1437</v>
      </c>
      <c r="V7" s="1" t="n">
        <f aca="false">U7/(U6+U5)</f>
        <v>0.572281959378734</v>
      </c>
    </row>
    <row r="8" customFormat="false" ht="14.25" hidden="false" customHeight="true" outlineLevel="0" collapsed="false">
      <c r="A8" s="1" t="s">
        <v>58</v>
      </c>
      <c r="B8" s="40" t="n">
        <f aca="false">$B$2/$T$2*T8</f>
        <v>0</v>
      </c>
      <c r="C8" s="43" t="n">
        <f aca="false">$C$2/I$19*I25</f>
        <v>0</v>
      </c>
      <c r="D8" s="43" t="n">
        <f aca="false">D$2/J$19*J25</f>
        <v>0</v>
      </c>
      <c r="E8" s="40" t="n">
        <f aca="false">$E$2/$U$2*U8</f>
        <v>0</v>
      </c>
      <c r="F8" s="40"/>
      <c r="G8" s="43" t="n">
        <f aca="false">G$2/L$19*L25</f>
        <v>0</v>
      </c>
      <c r="H8" s="40" t="n">
        <f aca="false">G8+B8</f>
        <v>0</v>
      </c>
      <c r="I8" s="38"/>
      <c r="K8" s="43" t="n">
        <f aca="false">$K$2/$O$19*O25</f>
        <v>0</v>
      </c>
      <c r="L8" s="40" t="n">
        <f aca="false">$L$2/$P$19*P25</f>
        <v>0</v>
      </c>
      <c r="S8" s="1" t="n">
        <f aca="false">T8/T6</f>
        <v>0.0502670436694942</v>
      </c>
      <c r="T8" s="38" t="n">
        <v>160</v>
      </c>
      <c r="U8" s="38" t="n">
        <v>127</v>
      </c>
      <c r="V8" s="1" t="n">
        <f aca="false">U8/(U6+U5)</f>
        <v>0.0505774591796097</v>
      </c>
    </row>
    <row r="9" customFormat="false" ht="14.25" hidden="false" customHeight="true" outlineLevel="0" collapsed="false">
      <c r="A9" s="1" t="s">
        <v>8</v>
      </c>
      <c r="B9" s="40" t="n">
        <f aca="false">$B$2/$T$2*T9</f>
        <v>0</v>
      </c>
      <c r="C9" s="43" t="n">
        <f aca="false">$C$2/I$19*I26</f>
        <v>0</v>
      </c>
      <c r="D9" s="43" t="n">
        <f aca="false">D$2/J$19*J26</f>
        <v>0</v>
      </c>
      <c r="E9" s="40" t="n">
        <f aca="false">$E$2/$U$2*U9</f>
        <v>0</v>
      </c>
      <c r="F9" s="40"/>
      <c r="G9" s="43" t="n">
        <f aca="false">G$2/L$19*L26</f>
        <v>0</v>
      </c>
      <c r="H9" s="40" t="n">
        <f aca="false">G9+B9</f>
        <v>0</v>
      </c>
      <c r="I9" s="38"/>
      <c r="K9" s="40" t="n">
        <f aca="false">$K$2/$O$19*O26</f>
        <v>0</v>
      </c>
      <c r="L9" s="40" t="n">
        <f aca="false">$L$2/$P$19*P26</f>
        <v>0</v>
      </c>
      <c r="T9" s="38" t="n">
        <v>48</v>
      </c>
      <c r="U9" s="38" t="n">
        <v>39</v>
      </c>
    </row>
    <row r="10" customFormat="false" ht="14.25" hidden="false" customHeight="true" outlineLevel="0" collapsed="false">
      <c r="B10" s="40"/>
      <c r="C10" s="44" t="s">
        <v>57</v>
      </c>
      <c r="D10" s="40" t="n">
        <f aca="false">D$2/J$19*J27</f>
        <v>0</v>
      </c>
      <c r="E10" s="40"/>
      <c r="F10" s="40"/>
      <c r="G10" s="40" t="n">
        <f aca="false">G$2/L$19*L27</f>
        <v>0</v>
      </c>
      <c r="H10" s="1" t="s">
        <v>57</v>
      </c>
      <c r="I10" s="42"/>
      <c r="J10" s="1" t="s">
        <v>59</v>
      </c>
      <c r="K10" s="40" t="n">
        <f aca="false">$K$2/$O$19*O28</f>
        <v>0</v>
      </c>
      <c r="L10" s="40" t="n">
        <f aca="false">$L$2/$P$19*P27</f>
        <v>0</v>
      </c>
      <c r="M10" s="1" t="s">
        <v>57</v>
      </c>
      <c r="T10" s="41"/>
      <c r="U10" s="41"/>
    </row>
    <row r="11" customFormat="false" ht="14.25" hidden="false" customHeight="true" outlineLevel="0" collapsed="false">
      <c r="A11" s="1" t="s">
        <v>60</v>
      </c>
      <c r="B11" s="45" t="e">
        <f aca="false">(B7)/(B5+B6)</f>
        <v>#DIV/0!</v>
      </c>
      <c r="D11" s="44" t="s">
        <v>10</v>
      </c>
      <c r="E11" s="40"/>
      <c r="F11" s="40"/>
      <c r="I11" s="38" t="e">
        <f aca="false">(B7+B8/2+I7)/(B5+B6+B8/2)</f>
        <v>#DIV/0!</v>
      </c>
      <c r="J11" s="1" t="s">
        <v>11</v>
      </c>
      <c r="K11" s="40" t="n">
        <f aca="false">$K$2/$O$19*O30</f>
        <v>0</v>
      </c>
      <c r="T11" s="41"/>
      <c r="U11" s="41"/>
    </row>
    <row r="12" customFormat="false" ht="14.25" hidden="false" customHeight="true" outlineLevel="0" collapsed="false">
      <c r="D12" s="44" t="s">
        <v>61</v>
      </c>
      <c r="E12" s="40"/>
      <c r="F12" s="40"/>
      <c r="I12" s="38"/>
      <c r="J12" s="1" t="s">
        <v>12</v>
      </c>
      <c r="K12" s="40" t="n">
        <f aca="false">$K$2/$O$19*O31</f>
        <v>0</v>
      </c>
      <c r="T12" s="41"/>
      <c r="U12" s="41"/>
    </row>
    <row r="13" customFormat="false" ht="14.25" hidden="false" customHeight="true" outlineLevel="0" collapsed="false">
      <c r="D13" s="44" t="s">
        <v>11</v>
      </c>
      <c r="E13" s="40"/>
      <c r="F13" s="40"/>
      <c r="I13" s="38"/>
      <c r="T13" s="41"/>
      <c r="U13" s="41"/>
    </row>
    <row r="14" customFormat="false" ht="14.25" hidden="false" customHeight="true" outlineLevel="0" collapsed="false">
      <c r="D14" s="44" t="s">
        <v>62</v>
      </c>
      <c r="E14" s="40"/>
      <c r="F14" s="40"/>
      <c r="I14" s="38"/>
      <c r="T14" s="41"/>
      <c r="U14" s="41"/>
    </row>
    <row r="15" customFormat="false" ht="14.25" hidden="false" customHeight="true" outlineLevel="0" collapsed="false">
      <c r="A15" s="1" t="s">
        <v>63</v>
      </c>
      <c r="B15" s="40" t="n">
        <f aca="false">SUM(B5:B9)</f>
        <v>0</v>
      </c>
      <c r="C15" s="40" t="n">
        <f aca="false">SUM(C5:C14)</f>
        <v>0</v>
      </c>
      <c r="D15" s="40" t="n">
        <f aca="false">SUM(D5:D14)</f>
        <v>0</v>
      </c>
      <c r="E15" s="40" t="n">
        <f aca="false">SUM(E5:E14)</f>
        <v>0</v>
      </c>
      <c r="F15" s="40"/>
      <c r="G15" s="40" t="n">
        <f aca="false">SUM(G5:G14)</f>
        <v>0</v>
      </c>
      <c r="H15" s="46"/>
      <c r="I15" s="42" t="n">
        <f aca="false">SUM(I4:I7)</f>
        <v>0</v>
      </c>
      <c r="K15" s="40" t="n">
        <f aca="false">SUM(K5:K14)</f>
        <v>0</v>
      </c>
      <c r="L15" s="40" t="n">
        <f aca="false">SUM(L4:L14)</f>
        <v>0</v>
      </c>
      <c r="M15" s="47" t="s">
        <v>64</v>
      </c>
      <c r="T15" s="38" t="n">
        <f aca="false">SUM(T6:T11)</f>
        <v>5142</v>
      </c>
      <c r="U15" s="38" t="n">
        <f aca="false">SUM(U4:U11)</f>
        <v>4114</v>
      </c>
    </row>
    <row r="16" customFormat="false" ht="14.25" hidden="false" customHeight="true" outlineLevel="0" collapsed="false">
      <c r="A16" s="1" t="s">
        <v>65</v>
      </c>
      <c r="B16" s="40" t="n">
        <f aca="false">B6*0.5</f>
        <v>0</v>
      </c>
      <c r="H16" s="40" t="n">
        <f aca="false">H6*0.5</f>
        <v>0</v>
      </c>
    </row>
    <row r="17" customFormat="false" ht="14.25" hidden="false" customHeight="true" outlineLevel="0" collapsed="false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</row>
    <row r="18" customFormat="false" ht="14.25" hidden="false" customHeight="true" outlineLevel="0" collapsed="false">
      <c r="A18" s="1" t="s">
        <v>66</v>
      </c>
      <c r="C18" s="1" t="s">
        <v>67</v>
      </c>
      <c r="D18" s="48" t="s">
        <v>68</v>
      </c>
      <c r="E18" s="1" t="s">
        <v>69</v>
      </c>
      <c r="G18" s="1" t="s">
        <v>70</v>
      </c>
      <c r="H18" s="1" t="s">
        <v>71</v>
      </c>
      <c r="I18" s="38" t="s">
        <v>72</v>
      </c>
      <c r="J18" s="48" t="s">
        <v>73</v>
      </c>
      <c r="K18" s="1" t="s">
        <v>74</v>
      </c>
      <c r="L18" s="48" t="s">
        <v>75</v>
      </c>
      <c r="M18" s="1" t="s">
        <v>76</v>
      </c>
      <c r="N18" s="1" t="s">
        <v>77</v>
      </c>
      <c r="O18" s="38" t="s">
        <v>50</v>
      </c>
      <c r="P18" s="1" t="s">
        <v>78</v>
      </c>
      <c r="S18" s="1" t="s">
        <v>79</v>
      </c>
      <c r="V18" s="1" t="s">
        <v>80</v>
      </c>
    </row>
    <row r="19" customFormat="false" ht="14.25" hidden="false" customHeight="true" outlineLevel="0" collapsed="false">
      <c r="A19" s="1" t="s">
        <v>81</v>
      </c>
      <c r="B19" s="1" t="n">
        <v>2090</v>
      </c>
      <c r="C19" s="40" t="n">
        <f aca="false">2090+238</f>
        <v>2328</v>
      </c>
      <c r="D19" s="48" t="n">
        <v>7450</v>
      </c>
      <c r="E19" s="40" t="n">
        <f aca="false">1000/0.64</f>
        <v>1562.5</v>
      </c>
      <c r="F19" s="40"/>
      <c r="G19" s="40" t="n">
        <f aca="false">1000/0.64</f>
        <v>1562.5</v>
      </c>
      <c r="H19" s="40" t="n">
        <f aca="false">1000/0.64</f>
        <v>1562.5</v>
      </c>
      <c r="I19" s="38" t="n">
        <f aca="false">1896*1.02</f>
        <v>1933.92</v>
      </c>
      <c r="J19" s="49" t="n">
        <v>2090</v>
      </c>
      <c r="K19" s="40" t="n">
        <v>1700</v>
      </c>
      <c r="L19" s="49" t="n">
        <f aca="false">2090+238+40</f>
        <v>2368</v>
      </c>
      <c r="M19" s="40" t="n">
        <v>1533</v>
      </c>
      <c r="N19" s="1" t="n">
        <f aca="false">15*250</f>
        <v>3750</v>
      </c>
      <c r="O19" s="42" t="n">
        <v>940</v>
      </c>
      <c r="P19" s="1" t="n">
        <v>760</v>
      </c>
      <c r="S19" s="1" t="s">
        <v>82</v>
      </c>
      <c r="T19" s="1" t="n">
        <v>500</v>
      </c>
      <c r="V19" s="1" t="n">
        <v>500</v>
      </c>
    </row>
    <row r="20" customFormat="false" ht="14.25" hidden="false" customHeight="true" outlineLevel="0" collapsed="false">
      <c r="A20" s="1" t="s">
        <v>83</v>
      </c>
      <c r="B20" s="40" t="n">
        <f aca="false">$B$19/$C$19*C20</f>
        <v>1194.02920962199</v>
      </c>
      <c r="C20" s="40" t="n">
        <v>1330</v>
      </c>
      <c r="D20" s="49" t="n">
        <f aca="false">D22+D23</f>
        <v>4930.8</v>
      </c>
      <c r="E20" s="40" t="n">
        <f aca="false">E22+E23</f>
        <v>1000</v>
      </c>
      <c r="F20" s="40"/>
      <c r="G20" s="40" t="n">
        <f aca="false">G22+G23</f>
        <v>1000</v>
      </c>
      <c r="H20" s="40" t="n">
        <f aca="false">H22+H23</f>
        <v>1000</v>
      </c>
      <c r="I20" s="42" t="n">
        <f aca="false">I22+I23</f>
        <v>1335</v>
      </c>
      <c r="J20" s="49" t="n">
        <v>1260</v>
      </c>
      <c r="K20" s="40" t="n">
        <v>1260</v>
      </c>
      <c r="L20" s="49" t="n">
        <v>1330</v>
      </c>
      <c r="M20" s="40" t="n">
        <v>1000</v>
      </c>
      <c r="N20" s="1" t="n">
        <v>2400</v>
      </c>
      <c r="O20" s="38" t="n">
        <f aca="false">O23</f>
        <v>666</v>
      </c>
      <c r="P20" s="1" t="n">
        <f aca="false">SUM(P21:P23)</f>
        <v>363</v>
      </c>
      <c r="S20" s="1" t="s">
        <v>84</v>
      </c>
      <c r="T20" s="1" t="n">
        <v>1000</v>
      </c>
    </row>
    <row r="21" customFormat="false" ht="14.25" hidden="false" customHeight="true" outlineLevel="0" collapsed="false">
      <c r="A21" s="1" t="s">
        <v>85</v>
      </c>
      <c r="B21" s="40"/>
      <c r="C21" s="40"/>
      <c r="D21" s="49"/>
      <c r="E21" s="40"/>
      <c r="F21" s="40"/>
      <c r="G21" s="40"/>
      <c r="H21" s="40"/>
      <c r="I21" s="42"/>
      <c r="J21" s="50"/>
      <c r="K21" s="51"/>
      <c r="L21" s="50"/>
      <c r="M21" s="40"/>
      <c r="N21" s="40"/>
      <c r="O21" s="38"/>
      <c r="P21" s="1" t="n">
        <v>110</v>
      </c>
      <c r="Q21" s="1" t="s">
        <v>85</v>
      </c>
      <c r="S21" s="1" t="s">
        <v>86</v>
      </c>
      <c r="T21" s="1" t="n">
        <v>3</v>
      </c>
      <c r="W21" s="1"/>
    </row>
    <row r="22" customFormat="false" ht="14.25" hidden="false" customHeight="true" outlineLevel="0" collapsed="false">
      <c r="A22" s="1" t="s">
        <v>54</v>
      </c>
      <c r="B22" s="40" t="n">
        <f aca="false">$B$19/$C$19*C22</f>
        <v>42.1950171821306</v>
      </c>
      <c r="C22" s="40" t="n">
        <v>47</v>
      </c>
      <c r="D22" s="49" t="n">
        <f aca="false">167+22</f>
        <v>189</v>
      </c>
      <c r="E22" s="40" t="n">
        <v>20</v>
      </c>
      <c r="F22" s="40"/>
      <c r="G22" s="40" t="n">
        <v>20</v>
      </c>
      <c r="H22" s="40" t="n">
        <v>20</v>
      </c>
      <c r="I22" s="42"/>
      <c r="J22" s="49"/>
      <c r="K22" s="40" t="n">
        <v>184</v>
      </c>
      <c r="L22" s="49" t="n">
        <v>47</v>
      </c>
      <c r="M22" s="40"/>
      <c r="N22" s="40"/>
      <c r="O22" s="38"/>
      <c r="P22" s="1" t="n">
        <v>110</v>
      </c>
      <c r="S22" s="1" t="s">
        <v>10</v>
      </c>
      <c r="T22" s="1" t="n">
        <v>50</v>
      </c>
      <c r="W22" s="1"/>
    </row>
    <row r="23" customFormat="false" ht="14.25" hidden="false" customHeight="true" outlineLevel="0" collapsed="false">
      <c r="A23" s="1" t="s">
        <v>56</v>
      </c>
      <c r="B23" s="40" t="n">
        <f aca="false">$B$19/$C$19*C23</f>
        <v>1150.93642611684</v>
      </c>
      <c r="C23" s="40" t="n">
        <v>1282</v>
      </c>
      <c r="D23" s="49" t="n">
        <f aca="false">4516*1.05</f>
        <v>4741.8</v>
      </c>
      <c r="E23" s="40" t="n">
        <v>980</v>
      </c>
      <c r="F23" s="40"/>
      <c r="G23" s="40" t="n">
        <v>980</v>
      </c>
      <c r="H23" s="40" t="n">
        <v>980</v>
      </c>
      <c r="I23" s="42" t="n">
        <v>1335</v>
      </c>
      <c r="J23" s="49" t="n">
        <v>1260</v>
      </c>
      <c r="K23" s="40" t="n">
        <v>1077</v>
      </c>
      <c r="L23" s="49" t="n">
        <v>1282</v>
      </c>
      <c r="M23" s="40" t="n">
        <v>1000</v>
      </c>
      <c r="N23" s="1" t="n">
        <v>2400</v>
      </c>
      <c r="O23" s="38" t="n">
        <f aca="false">646+20</f>
        <v>666</v>
      </c>
      <c r="P23" s="1" t="n">
        <v>143</v>
      </c>
      <c r="S23" s="1" t="s">
        <v>6</v>
      </c>
      <c r="V23" s="1" t="n">
        <v>1000</v>
      </c>
    </row>
    <row r="24" customFormat="false" ht="14.25" hidden="false" customHeight="true" outlineLevel="0" collapsed="false">
      <c r="A24" s="1" t="s">
        <v>6</v>
      </c>
      <c r="B24" s="40" t="n">
        <f aca="false">$B$19/$C$19*C24</f>
        <v>861.855670103093</v>
      </c>
      <c r="C24" s="40" t="n">
        <f aca="false">863+97</f>
        <v>960</v>
      </c>
      <c r="D24" s="49" t="n">
        <f aca="false">3040</f>
        <v>3040</v>
      </c>
      <c r="E24" s="40" t="n">
        <v>573</v>
      </c>
      <c r="F24" s="40"/>
      <c r="G24" s="40" t="n">
        <v>650</v>
      </c>
      <c r="H24" s="40" t="n">
        <v>610</v>
      </c>
      <c r="I24" s="42" t="n">
        <f aca="false">865*1.05</f>
        <v>908.25</v>
      </c>
      <c r="J24" s="49" t="n">
        <f aca="false">817*1+3*25</f>
        <v>892</v>
      </c>
      <c r="K24" s="40" t="n">
        <f aca="false">817*1</f>
        <v>817</v>
      </c>
      <c r="L24" s="49" t="n">
        <v>960</v>
      </c>
      <c r="M24" s="40" t="n">
        <v>520</v>
      </c>
      <c r="N24" s="1" t="n">
        <f aca="false">440*3</f>
        <v>1320</v>
      </c>
      <c r="O24" s="42" t="n">
        <f aca="false">157*1.05+0.2*O30</f>
        <v>173.45</v>
      </c>
      <c r="P24" s="1" t="n">
        <v>333</v>
      </c>
      <c r="S24" s="1" t="s">
        <v>8</v>
      </c>
      <c r="V24" s="1" t="n">
        <v>7</v>
      </c>
    </row>
    <row r="25" customFormat="false" ht="14.25" hidden="false" customHeight="true" outlineLevel="0" collapsed="false">
      <c r="A25" s="1" t="s">
        <v>7</v>
      </c>
      <c r="B25" s="43" t="n">
        <f aca="false">$B$19/$C$19*C25</f>
        <v>267.534364261168</v>
      </c>
      <c r="C25" s="40" t="n">
        <v>298</v>
      </c>
      <c r="D25" s="49" t="n">
        <v>1050</v>
      </c>
      <c r="E25" s="40" t="n">
        <v>260</v>
      </c>
      <c r="F25" s="40"/>
      <c r="G25" s="40" t="n">
        <v>260</v>
      </c>
      <c r="H25" s="40" t="n">
        <v>260</v>
      </c>
      <c r="I25" s="42" t="n">
        <v>53</v>
      </c>
      <c r="J25" s="52" t="n">
        <v>10</v>
      </c>
      <c r="K25" s="43" t="n">
        <v>10</v>
      </c>
      <c r="L25" s="52" t="n">
        <v>298</v>
      </c>
      <c r="M25" s="43" t="n">
        <v>12</v>
      </c>
      <c r="N25" s="1" t="n">
        <v>30</v>
      </c>
      <c r="O25" s="53" t="n">
        <f aca="false">O23/1000*2</f>
        <v>1.332</v>
      </c>
      <c r="P25" s="1" t="n">
        <v>3</v>
      </c>
    </row>
    <row r="26" customFormat="false" ht="14.25" hidden="false" customHeight="true" outlineLevel="0" collapsed="false">
      <c r="A26" s="1" t="s">
        <v>8</v>
      </c>
      <c r="B26" s="40" t="n">
        <f aca="false">$B$19/$C$19*C26</f>
        <v>21.4566151202749</v>
      </c>
      <c r="C26" s="40" t="n">
        <v>23.9</v>
      </c>
      <c r="D26" s="49" t="n">
        <v>84</v>
      </c>
      <c r="E26" s="40" t="n">
        <v>18.25</v>
      </c>
      <c r="F26" s="40"/>
      <c r="G26" s="40" t="n">
        <v>18.25</v>
      </c>
      <c r="H26" s="40" t="n">
        <v>18.25</v>
      </c>
      <c r="I26" s="42" t="n">
        <f aca="false">(I23+I22)/1000*14</f>
        <v>18.69</v>
      </c>
      <c r="J26" s="52" t="n">
        <f aca="false">(J23+J22)/1000*14</f>
        <v>17.64</v>
      </c>
      <c r="K26" s="43" t="n">
        <f aca="false">(K23+K22)/1000*14</f>
        <v>17.654</v>
      </c>
      <c r="L26" s="52" t="n">
        <v>23.9</v>
      </c>
      <c r="M26" s="40" t="n">
        <v>18</v>
      </c>
      <c r="N26" s="1" t="n">
        <v>36</v>
      </c>
      <c r="O26" s="38" t="n">
        <v>12</v>
      </c>
      <c r="P26" s="1" t="n">
        <v>6</v>
      </c>
      <c r="S26" s="54"/>
      <c r="T26" s="54"/>
      <c r="U26" s="54"/>
    </row>
    <row r="27" customFormat="false" ht="14.25" hidden="false" customHeight="true" outlineLevel="0" collapsed="false">
      <c r="A27" s="1" t="s">
        <v>57</v>
      </c>
      <c r="B27" s="40" t="n">
        <f aca="false">$B$19/$C$19*C27</f>
        <v>213.668384879725</v>
      </c>
      <c r="C27" s="1" t="n">
        <v>238</v>
      </c>
      <c r="D27" s="48"/>
      <c r="I27" s="38"/>
      <c r="J27" s="48" t="n">
        <v>238</v>
      </c>
      <c r="L27" s="48" t="n">
        <v>238</v>
      </c>
      <c r="O27" s="38"/>
      <c r="P27" s="1" t="n">
        <f aca="false">90*1.25</f>
        <v>112.5</v>
      </c>
      <c r="S27" s="54"/>
      <c r="T27" s="54"/>
      <c r="U27" s="54"/>
    </row>
    <row r="28" customFormat="false" ht="14.25" hidden="false" customHeight="true" outlineLevel="0" collapsed="false">
      <c r="A28" s="1" t="s">
        <v>10</v>
      </c>
      <c r="B28" s="40"/>
      <c r="D28" s="48"/>
      <c r="I28" s="38"/>
      <c r="J28" s="48"/>
      <c r="L28" s="48"/>
      <c r="M28" s="1" t="n">
        <v>50</v>
      </c>
      <c r="O28" s="38" t="n">
        <f aca="false">43*1.2</f>
        <v>51.6</v>
      </c>
      <c r="S28" s="54"/>
      <c r="T28" s="54"/>
      <c r="U28" s="54"/>
    </row>
    <row r="29" customFormat="false" ht="14.25" hidden="false" customHeight="true" outlineLevel="0" collapsed="false">
      <c r="A29" s="1" t="s">
        <v>61</v>
      </c>
      <c r="B29" s="40"/>
      <c r="D29" s="48"/>
      <c r="I29" s="38"/>
      <c r="J29" s="48"/>
      <c r="L29" s="48"/>
      <c r="M29" s="1" t="n">
        <v>40</v>
      </c>
      <c r="O29" s="38"/>
      <c r="S29" s="54"/>
      <c r="T29" s="54"/>
      <c r="U29" s="54"/>
    </row>
    <row r="30" customFormat="false" ht="14.25" hidden="false" customHeight="true" outlineLevel="0" collapsed="false">
      <c r="A30" s="1" t="s">
        <v>11</v>
      </c>
      <c r="B30" s="40"/>
      <c r="D30" s="48"/>
      <c r="I30" s="38"/>
      <c r="J30" s="48"/>
      <c r="L30" s="48"/>
      <c r="M30" s="1" t="n">
        <v>30</v>
      </c>
      <c r="N30" s="1" t="n">
        <v>77</v>
      </c>
      <c r="O30" s="38" t="n">
        <v>43</v>
      </c>
      <c r="S30" s="54"/>
      <c r="T30" s="54"/>
      <c r="U30" s="54"/>
    </row>
    <row r="31" customFormat="false" ht="14.25" hidden="false" customHeight="true" outlineLevel="0" collapsed="false">
      <c r="A31" s="1" t="s">
        <v>87</v>
      </c>
      <c r="B31" s="40"/>
      <c r="D31" s="48"/>
      <c r="I31" s="38"/>
      <c r="J31" s="48"/>
      <c r="L31" s="48"/>
      <c r="M31" s="1" t="n">
        <v>50</v>
      </c>
      <c r="O31" s="42" t="n">
        <v>190</v>
      </c>
      <c r="S31" s="54"/>
      <c r="T31" s="54"/>
      <c r="U31" s="54"/>
    </row>
    <row r="32" customFormat="false" ht="14.25" hidden="false" customHeight="true" outlineLevel="0" collapsed="false">
      <c r="A32" s="1" t="s">
        <v>88</v>
      </c>
      <c r="B32" s="40" t="n">
        <f aca="false">C32/$C$19*$B$19</f>
        <v>2557.64647766323</v>
      </c>
      <c r="C32" s="40" t="n">
        <f aca="false">SUM(C22:C27)</f>
        <v>2848.9</v>
      </c>
      <c r="D32" s="49" t="n">
        <f aca="false">SUM(D22:D26)</f>
        <v>9104.8</v>
      </c>
      <c r="E32" s="40" t="n">
        <f aca="false">SUM(E22:E26)</f>
        <v>1851.25</v>
      </c>
      <c r="F32" s="40"/>
      <c r="G32" s="40" t="n">
        <f aca="false">SUM(G22:G26)</f>
        <v>1928.25</v>
      </c>
      <c r="H32" s="40" t="n">
        <f aca="false">SUM(H22:H26)</f>
        <v>1888.25</v>
      </c>
      <c r="I32" s="42" t="n">
        <f aca="false">SUM(I22:I26)</f>
        <v>2314.94</v>
      </c>
      <c r="J32" s="49" t="n">
        <f aca="false">SUM(J22:J27)</f>
        <v>2417.64</v>
      </c>
      <c r="K32" s="40" t="n">
        <f aca="false">SUM(K22:K26)</f>
        <v>2105.654</v>
      </c>
      <c r="L32" s="49" t="n">
        <f aca="false">SUM(L22:L27)</f>
        <v>2848.9</v>
      </c>
      <c r="M32" s="40" t="n">
        <f aca="false">SUM(M22:M31)</f>
        <v>1720</v>
      </c>
      <c r="N32" s="40"/>
      <c r="O32" s="38"/>
      <c r="U32" s="1"/>
      <c r="V32" s="54"/>
    </row>
    <row r="33" customFormat="false" ht="14.25" hidden="false" customHeight="true" outlineLevel="0" collapsed="false">
      <c r="A33" s="1" t="s">
        <v>89</v>
      </c>
      <c r="B33" s="45" t="n">
        <f aca="false">(0.5*B25+B24)/(B20+B25*0.5)</f>
        <v>0.749830966869507</v>
      </c>
      <c r="C33" s="45" t="n">
        <f aca="false">(0.5*C25+C24)/(C20+C25*0.5)</f>
        <v>0.749830966869507</v>
      </c>
      <c r="D33" s="46" t="n">
        <f aca="false">(0.5*D25+D24)/(D20+D25*0.5)</f>
        <v>0.653433043733275</v>
      </c>
      <c r="E33" s="55" t="n">
        <f aca="false">(0.5*E25+E24)/(E20+E25*0.5)</f>
        <v>0.62212389380531</v>
      </c>
      <c r="F33" s="55"/>
      <c r="G33" s="55" t="n">
        <f aca="false">(0.5*G25+G24)/(G20+G25*0.5)</f>
        <v>0.690265486725664</v>
      </c>
      <c r="H33" s="55" t="n">
        <f aca="false">(0.5*H25+H24)/(H20+H25*0.5)</f>
        <v>0.654867256637168</v>
      </c>
      <c r="I33" s="56" t="n">
        <f aca="false">(0.5*I25+I24)/(I20+I25*0.5)</f>
        <v>0.686558942343004</v>
      </c>
      <c r="J33" s="57" t="n">
        <f aca="false">(0.5*J25+J24)/(J20+J25*0.5)</f>
        <v>0.709090909090909</v>
      </c>
      <c r="K33" s="45" t="n">
        <f aca="false">(0.5*K25+K24)/(K20+K25*0.5)</f>
        <v>0.649802371541502</v>
      </c>
      <c r="L33" s="46" t="n">
        <f aca="false">(0.5*L25+L24)/(L20+L25*0.5)</f>
        <v>0.749830966869507</v>
      </c>
      <c r="M33" s="55"/>
      <c r="N33" s="55"/>
      <c r="O33" s="38"/>
      <c r="P33" s="37" t="n">
        <f aca="false">(0.5*P25+P24)/(P20+P25*0.5)</f>
        <v>0.917695473251029</v>
      </c>
      <c r="T33" s="1"/>
      <c r="V33" s="54"/>
    </row>
    <row r="34" customFormat="false" ht="14.25" hidden="false" customHeight="true" outlineLevel="0" collapsed="false">
      <c r="A34" s="1" t="s">
        <v>90</v>
      </c>
      <c r="B34" s="55" t="n">
        <f aca="false">(B25/2+B22)/B20</f>
        <v>0.147368421052632</v>
      </c>
      <c r="C34" s="45" t="n">
        <f aca="false">(C25/2+C22)/C20</f>
        <v>0.147368421052632</v>
      </c>
      <c r="D34" s="57" t="n">
        <f aca="false">(D25/2+D22)/D20</f>
        <v>0.144804088586031</v>
      </c>
      <c r="E34" s="55" t="n">
        <f aca="false">(E25/2+E22)/E20</f>
        <v>0.15</v>
      </c>
      <c r="F34" s="55"/>
      <c r="G34" s="55" t="n">
        <f aca="false">(G25/2+G22)/G20</f>
        <v>0.15</v>
      </c>
      <c r="H34" s="55" t="n">
        <f aca="false">(H25/2+H22)/H20</f>
        <v>0.15</v>
      </c>
      <c r="I34" s="56" t="n">
        <f aca="false">(I25/2+I22)/I20</f>
        <v>0.0198501872659176</v>
      </c>
      <c r="J34" s="57" t="n">
        <f aca="false">(J25/2+J22)/J20</f>
        <v>0.00396825396825397</v>
      </c>
      <c r="K34" s="45" t="n">
        <f aca="false">(K25/2+K22)/K20</f>
        <v>0.15</v>
      </c>
      <c r="L34" s="57" t="n">
        <f aca="false">(L25/2+L22)/L20</f>
        <v>0.147368421052632</v>
      </c>
      <c r="M34" s="45"/>
      <c r="N34" s="45"/>
      <c r="O34" s="38"/>
      <c r="V34" s="54"/>
    </row>
    <row r="35" customFormat="false" ht="14.25" hidden="false" customHeight="true" outlineLevel="0" collapsed="false">
      <c r="A35" s="1" t="s">
        <v>91</v>
      </c>
      <c r="B35" s="55" t="n">
        <f aca="false">B25/B20</f>
        <v>0.22406015037594</v>
      </c>
      <c r="C35" s="55" t="n">
        <f aca="false">C25/C20</f>
        <v>0.22406015037594</v>
      </c>
      <c r="D35" s="58" t="n">
        <f aca="false">D25/D20</f>
        <v>0.212947189097104</v>
      </c>
      <c r="E35" s="55" t="n">
        <f aca="false">E25/E20</f>
        <v>0.26</v>
      </c>
      <c r="F35" s="55"/>
      <c r="G35" s="55" t="n">
        <f aca="false">G25/G20</f>
        <v>0.26</v>
      </c>
      <c r="H35" s="55" t="n">
        <f aca="false">H25/H20</f>
        <v>0.26</v>
      </c>
      <c r="I35" s="59" t="n">
        <f aca="false">I25/I20</f>
        <v>0.0397003745318352</v>
      </c>
      <c r="J35" s="57" t="n">
        <f aca="false">J25/J20</f>
        <v>0.00793650793650794</v>
      </c>
      <c r="K35" s="45" t="n">
        <f aca="false">K25/K20</f>
        <v>0.00793650793650794</v>
      </c>
      <c r="L35" s="57" t="n">
        <f aca="false">L25/L20</f>
        <v>0.22406015037594</v>
      </c>
      <c r="M35" s="55"/>
      <c r="N35" s="55"/>
      <c r="O35" s="38"/>
      <c r="V35" s="54"/>
    </row>
    <row r="36" customFormat="false" ht="14.25" hidden="false" customHeight="true" outlineLevel="0" collapsed="false">
      <c r="C36" s="45"/>
      <c r="D36" s="45"/>
    </row>
    <row r="37" customFormat="false" ht="14.25" hidden="false" customHeight="true" outlineLevel="0" collapsed="false">
      <c r="C37" s="55"/>
      <c r="D37" s="55"/>
    </row>
    <row r="38" customFormat="false" ht="13.5" hidden="false" customHeight="true" outlineLevel="0" collapsed="false"/>
    <row r="39" customFormat="false" ht="13.5" hidden="false" customHeight="true" outlineLevel="0" collapsed="false">
      <c r="A39" s="1" t="s">
        <v>92</v>
      </c>
      <c r="G39" s="1" t="s">
        <v>93</v>
      </c>
    </row>
    <row r="40" customFormat="false" ht="13.5" hidden="false" customHeight="true" outlineLevel="0" collapsed="false">
      <c r="B40" s="1" t="s">
        <v>94</v>
      </c>
      <c r="C40" s="1" t="n">
        <v>500</v>
      </c>
      <c r="D40" s="45" t="n">
        <v>0.18</v>
      </c>
      <c r="E40" s="1" t="n">
        <v>5</v>
      </c>
      <c r="F40" s="1" t="n">
        <f aca="false">E40*D40</f>
        <v>0.9</v>
      </c>
      <c r="G40" s="40" t="n">
        <f aca="false">D40*$G$45</f>
        <v>495</v>
      </c>
      <c r="H40" s="40" t="n">
        <f aca="false">G40/4</f>
        <v>123.75</v>
      </c>
      <c r="I40" s="1" t="n">
        <v>5</v>
      </c>
      <c r="J40" s="1" t="n">
        <v>650</v>
      </c>
    </row>
    <row r="41" customFormat="false" ht="13.5" hidden="false" customHeight="true" outlineLevel="0" collapsed="false">
      <c r="B41" s="1" t="s">
        <v>95</v>
      </c>
      <c r="C41" s="1" t="n">
        <v>375</v>
      </c>
      <c r="D41" s="45" t="n">
        <v>0.075</v>
      </c>
      <c r="E41" s="1" t="n">
        <f aca="false">5</f>
        <v>5</v>
      </c>
      <c r="F41" s="1" t="n">
        <f aca="false">E41*D41</f>
        <v>0.375</v>
      </c>
      <c r="G41" s="40" t="n">
        <f aca="false">D41*$G$45</f>
        <v>206.25</v>
      </c>
      <c r="I41" s="1" t="n">
        <f aca="false">I40*J41/J40</f>
        <v>6</v>
      </c>
      <c r="J41" s="1" t="n">
        <v>780</v>
      </c>
    </row>
    <row r="42" customFormat="false" ht="13.5" hidden="false" customHeight="true" outlineLevel="0" collapsed="false">
      <c r="B42" s="1" t="s">
        <v>96</v>
      </c>
      <c r="C42" s="1" t="n">
        <v>375</v>
      </c>
      <c r="D42" s="45" t="n">
        <v>0.075</v>
      </c>
      <c r="E42" s="1" t="n">
        <f aca="false">17/1.055/3</f>
        <v>5.37124802527646</v>
      </c>
      <c r="F42" s="1" t="n">
        <f aca="false">E42*D42</f>
        <v>0.402843601895735</v>
      </c>
      <c r="G42" s="40" t="n">
        <f aca="false">D42*$G$45</f>
        <v>206.25</v>
      </c>
    </row>
    <row r="43" customFormat="false" ht="13.5" hidden="false" customHeight="true" outlineLevel="0" collapsed="false">
      <c r="B43" s="1" t="s">
        <v>97</v>
      </c>
      <c r="C43" s="1" t="n">
        <v>750</v>
      </c>
      <c r="D43" s="45" t="n">
        <v>0.3</v>
      </c>
      <c r="E43" s="1" t="n">
        <f aca="false">65/5</f>
        <v>13</v>
      </c>
      <c r="F43" s="1" t="n">
        <f aca="false">E43*D43</f>
        <v>3.9</v>
      </c>
      <c r="G43" s="40" t="n">
        <f aca="false">D43*$G$45</f>
        <v>825</v>
      </c>
    </row>
    <row r="44" customFormat="false" ht="13.5" hidden="false" customHeight="true" outlineLevel="0" collapsed="false">
      <c r="B44" s="1" t="s">
        <v>1</v>
      </c>
      <c r="C44" s="1" t="n">
        <v>750</v>
      </c>
      <c r="D44" s="45" t="n">
        <v>0.37</v>
      </c>
      <c r="E44" s="1" t="n">
        <v>7</v>
      </c>
      <c r="F44" s="1" t="n">
        <f aca="false">E44*D44</f>
        <v>2.59</v>
      </c>
      <c r="G44" s="40" t="n">
        <f aca="false">D44*$G$45</f>
        <v>1017.5</v>
      </c>
    </row>
    <row r="45" customFormat="false" ht="14.25" hidden="false" customHeight="true" outlineLevel="0" collapsed="false">
      <c r="C45" s="1" t="n">
        <f aca="false">SUM(C40:C44)</f>
        <v>2750</v>
      </c>
      <c r="F45" s="1" t="n">
        <f aca="false">SUM(F40:F44)</f>
        <v>8.16784360189574</v>
      </c>
      <c r="G45" s="1" t="n">
        <v>2750</v>
      </c>
    </row>
    <row r="46" customFormat="false" ht="13.5" hidden="false" customHeight="true" outlineLevel="0" collapsed="false">
      <c r="B46" s="1" t="s">
        <v>46</v>
      </c>
      <c r="D46" s="37" t="n">
        <v>0.3</v>
      </c>
      <c r="E46" s="1" t="n">
        <v>3.5</v>
      </c>
      <c r="F46" s="1" t="n">
        <f aca="false">E46*D46</f>
        <v>1.05</v>
      </c>
    </row>
    <row r="47" customFormat="false" ht="13.5" hidden="false" customHeight="true" outlineLevel="0" collapsed="false">
      <c r="B47" s="1" t="s">
        <v>4</v>
      </c>
      <c r="D47" s="37" t="n">
        <v>0.3</v>
      </c>
      <c r="E47" s="1" t="n">
        <v>1.55</v>
      </c>
      <c r="F47" s="1" t="n">
        <f aca="false">E47*D47</f>
        <v>0.465</v>
      </c>
    </row>
    <row r="48" customFormat="false" ht="13.5" hidden="false" customHeight="true" outlineLevel="0" collapsed="false">
      <c r="B48" s="1" t="s">
        <v>85</v>
      </c>
      <c r="D48" s="37" t="n">
        <v>0.4</v>
      </c>
      <c r="E48" s="1" t="n">
        <v>2.8</v>
      </c>
      <c r="F48" s="1" t="n">
        <f aca="false">E48*D48</f>
        <v>1.12</v>
      </c>
    </row>
    <row r="49" customFormat="false" ht="14.25" hidden="false" customHeight="true" outlineLevel="0" collapsed="false">
      <c r="F49" s="1" t="n">
        <f aca="false">SUM(F46:F48)</f>
        <v>2.635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J4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" activeCellId="0" sqref="H1"/>
    </sheetView>
  </sheetViews>
  <sheetFormatPr defaultColWidth="8.59765625" defaultRowHeight="15.6" zeroHeight="false" outlineLevelRow="0" outlineLevelCol="0"/>
  <cols>
    <col collapsed="false" customWidth="true" hidden="false" outlineLevel="0" max="1" min="1" style="60" width="8.45"/>
    <col collapsed="false" customWidth="true" hidden="false" outlineLevel="0" max="2" min="2" style="60" width="20.22"/>
    <col collapsed="false" customWidth="true" hidden="false" outlineLevel="0" max="3" min="3" style="60" width="2.47"/>
    <col collapsed="false" customWidth="true" hidden="false" outlineLevel="0" max="4" min="4" style="60" width="22.58"/>
    <col collapsed="false" customWidth="false" hidden="false" outlineLevel="0" max="5" min="5" style="60" width="8.59"/>
    <col collapsed="false" customWidth="true" hidden="false" outlineLevel="0" max="6" min="6" style="60" width="6"/>
    <col collapsed="false" customWidth="false" hidden="false" outlineLevel="0" max="7" min="7" style="60" width="8.59"/>
    <col collapsed="false" customWidth="true" hidden="false" outlineLevel="0" max="8" min="8" style="60" width="12.42"/>
    <col collapsed="false" customWidth="false" hidden="false" outlineLevel="0" max="9" min="9" style="60" width="8.59"/>
    <col collapsed="false" customWidth="true" hidden="false" outlineLevel="0" max="10" min="10" style="60" width="5.18"/>
  </cols>
  <sheetData>
    <row r="2" customFormat="false" ht="15.6" hidden="false" customHeight="true" outlineLevel="0" collapsed="false">
      <c r="A2" s="61"/>
      <c r="B2" s="61"/>
      <c r="C2" s="61"/>
      <c r="D2" s="61"/>
      <c r="E2" s="61"/>
      <c r="F2" s="61"/>
      <c r="G2" s="61"/>
      <c r="H2" s="61"/>
      <c r="I2" s="61"/>
      <c r="J2" s="61"/>
    </row>
    <row r="3" customFormat="false" ht="15.6" hidden="false" customHeight="true" outlineLevel="0" collapsed="false">
      <c r="A3" s="61"/>
      <c r="B3" s="61"/>
      <c r="J3" s="61"/>
    </row>
    <row r="4" customFormat="false" ht="15.6" hidden="false" customHeight="true" outlineLevel="0" collapsed="false">
      <c r="A4" s="61"/>
      <c r="B4" s="61"/>
      <c r="C4" s="61"/>
      <c r="D4" s="61"/>
      <c r="E4" s="61"/>
      <c r="F4" s="61"/>
      <c r="G4" s="61"/>
      <c r="H4" s="61"/>
      <c r="I4" s="61"/>
      <c r="J4" s="61"/>
    </row>
    <row r="5" customFormat="false" ht="15.6" hidden="false" customHeight="true" outlineLevel="0" collapsed="false">
      <c r="A5" s="61"/>
      <c r="B5" s="61"/>
      <c r="C5" s="61"/>
      <c r="D5" s="61"/>
      <c r="E5" s="61"/>
      <c r="F5" s="61"/>
      <c r="G5" s="61"/>
      <c r="H5" s="61"/>
      <c r="I5" s="61"/>
      <c r="J5" s="61"/>
    </row>
    <row r="6" customFormat="false" ht="15.6" hidden="false" customHeight="true" outlineLevel="0" collapsed="false">
      <c r="A6" s="61"/>
      <c r="B6" s="61"/>
      <c r="J6" s="61"/>
    </row>
    <row r="7" customFormat="false" ht="15.6" hidden="false" customHeight="true" outlineLevel="0" collapsed="false">
      <c r="A7" s="61"/>
      <c r="B7" s="61"/>
      <c r="C7" s="61"/>
      <c r="D7" s="61"/>
      <c r="E7" s="61"/>
      <c r="F7" s="61"/>
      <c r="G7" s="61"/>
      <c r="H7" s="61"/>
      <c r="I7" s="61"/>
      <c r="J7" s="61"/>
    </row>
    <row r="8" customFormat="false" ht="15.6" hidden="false" customHeight="true" outlineLevel="0" collapsed="false">
      <c r="A8" s="61"/>
      <c r="B8" s="61"/>
      <c r="J8" s="61"/>
    </row>
    <row r="9" customFormat="false" ht="15.6" hidden="false" customHeight="true" outlineLevel="0" collapsed="false">
      <c r="A9" s="61"/>
      <c r="B9" s="61"/>
      <c r="C9" s="61"/>
      <c r="D9" s="61"/>
      <c r="E9" s="61"/>
      <c r="F9" s="61"/>
      <c r="G9" s="61"/>
      <c r="H9" s="61"/>
      <c r="I9" s="61"/>
      <c r="J9" s="61"/>
    </row>
    <row r="10" customFormat="false" ht="15.6" hidden="false" customHeight="true" outlineLevel="0" collapsed="false">
      <c r="A10" s="61"/>
      <c r="B10" s="61"/>
      <c r="J10" s="61"/>
    </row>
    <row r="11" customFormat="false" ht="15.6" hidden="false" customHeight="true" outlineLevel="0" collapsed="false">
      <c r="A11" s="61"/>
      <c r="B11" s="61"/>
      <c r="C11" s="61"/>
      <c r="D11" s="61"/>
      <c r="E11" s="61"/>
      <c r="F11" s="61"/>
      <c r="G11" s="61"/>
      <c r="H11" s="61"/>
      <c r="I11" s="61"/>
      <c r="J11" s="61"/>
    </row>
    <row r="12" customFormat="false" ht="15.6" hidden="false" customHeight="true" outlineLevel="0" collapsed="false">
      <c r="A12" s="61"/>
      <c r="B12" s="61"/>
      <c r="J12" s="61"/>
    </row>
    <row r="13" customFormat="false" ht="15.6" hidden="false" customHeight="true" outlineLevel="0" collapsed="false">
      <c r="A13" s="61"/>
      <c r="B13" s="61"/>
      <c r="J13" s="61"/>
    </row>
    <row r="14" customFormat="false" ht="15.6" hidden="false" customHeight="true" outlineLevel="0" collapsed="false">
      <c r="A14" s="61"/>
      <c r="B14" s="61"/>
      <c r="C14" s="61"/>
      <c r="D14" s="61"/>
      <c r="E14" s="61"/>
      <c r="F14" s="61"/>
      <c r="G14" s="61"/>
      <c r="H14" s="61"/>
      <c r="I14" s="61"/>
      <c r="J14" s="61"/>
    </row>
    <row r="15" customFormat="false" ht="15.6" hidden="false" customHeight="true" outlineLevel="0" collapsed="false">
      <c r="A15" s="61"/>
      <c r="B15" s="61"/>
      <c r="J15" s="61"/>
    </row>
    <row r="16" customFormat="false" ht="15.6" hidden="false" customHeight="true" outlineLevel="0" collapsed="false">
      <c r="A16" s="61"/>
      <c r="B16" s="61"/>
      <c r="C16" s="61"/>
      <c r="D16" s="61"/>
      <c r="E16" s="61"/>
      <c r="F16" s="61"/>
      <c r="G16" s="61"/>
      <c r="H16" s="61"/>
      <c r="I16" s="61"/>
      <c r="J16" s="61"/>
    </row>
    <row r="17" customFormat="false" ht="15.6" hidden="false" customHeight="true" outlineLevel="0" collapsed="false">
      <c r="A17" s="61"/>
      <c r="B17" s="61"/>
      <c r="J17" s="61"/>
    </row>
    <row r="18" customFormat="false" ht="15.6" hidden="false" customHeight="true" outlineLevel="0" collapsed="false">
      <c r="A18" s="61"/>
      <c r="B18" s="61"/>
      <c r="C18" s="61"/>
      <c r="D18" s="61"/>
      <c r="E18" s="61"/>
      <c r="F18" s="61"/>
      <c r="G18" s="61"/>
      <c r="H18" s="61"/>
      <c r="I18" s="61"/>
      <c r="J18" s="61"/>
    </row>
    <row r="19" customFormat="false" ht="15.6" hidden="false" customHeight="true" outlineLevel="0" collapsed="false">
      <c r="A19" s="61"/>
      <c r="B19" s="61"/>
      <c r="J19" s="61"/>
    </row>
    <row r="20" customFormat="false" ht="15.6" hidden="false" customHeight="true" outlineLevel="0" collapsed="false">
      <c r="A20" s="61"/>
      <c r="B20" s="61"/>
      <c r="C20" s="61"/>
      <c r="D20" s="61"/>
      <c r="E20" s="61"/>
      <c r="F20" s="61"/>
      <c r="G20" s="61"/>
      <c r="H20" s="61"/>
      <c r="I20" s="61"/>
      <c r="J20" s="61"/>
    </row>
    <row r="21" customFormat="false" ht="15.6" hidden="false" customHeight="true" outlineLevel="0" collapsed="false">
      <c r="A21" s="61"/>
      <c r="B21" s="61"/>
      <c r="J21" s="61"/>
    </row>
    <row r="22" customFormat="false" ht="15.6" hidden="false" customHeight="true" outlineLevel="0" collapsed="false">
      <c r="A22" s="61"/>
      <c r="B22" s="61"/>
      <c r="C22" s="61"/>
      <c r="D22" s="61"/>
      <c r="E22" s="61"/>
      <c r="F22" s="61"/>
      <c r="G22" s="61"/>
      <c r="H22" s="61"/>
      <c r="I22" s="61"/>
      <c r="J22" s="61"/>
    </row>
    <row r="23" customFormat="false" ht="15.6" hidden="false" customHeight="true" outlineLevel="0" collapsed="false">
      <c r="A23" s="61"/>
      <c r="B23" s="61"/>
      <c r="J23" s="61"/>
    </row>
    <row r="24" customFormat="false" ht="15.6" hidden="false" customHeight="true" outlineLevel="0" collapsed="false">
      <c r="A24" s="61"/>
      <c r="B24" s="61"/>
      <c r="J24" s="61"/>
    </row>
    <row r="25" customFormat="false" ht="15.6" hidden="false" customHeight="true" outlineLevel="0" collapsed="false">
      <c r="A25" s="61"/>
      <c r="B25" s="61"/>
      <c r="C25" s="61"/>
      <c r="D25" s="61"/>
      <c r="E25" s="61"/>
      <c r="F25" s="61"/>
      <c r="G25" s="61"/>
      <c r="H25" s="61"/>
      <c r="I25" s="61"/>
      <c r="J25" s="61"/>
    </row>
    <row r="26" customFormat="false" ht="15.6" hidden="false" customHeight="true" outlineLevel="0" collapsed="false">
      <c r="A26" s="61"/>
      <c r="B26" s="61"/>
      <c r="J26" s="61"/>
    </row>
    <row r="27" customFormat="false" ht="15.6" hidden="false" customHeight="true" outlineLevel="0" collapsed="false">
      <c r="A27" s="61"/>
      <c r="B27" s="61"/>
      <c r="J27" s="61"/>
    </row>
    <row r="28" customFormat="false" ht="15.6" hidden="false" customHeight="true" outlineLevel="0" collapsed="false">
      <c r="A28" s="61"/>
      <c r="B28" s="61"/>
      <c r="C28" s="61"/>
      <c r="D28" s="61"/>
      <c r="E28" s="61"/>
      <c r="F28" s="61"/>
      <c r="G28" s="61"/>
      <c r="H28" s="61"/>
      <c r="I28" s="61"/>
      <c r="J28" s="61"/>
    </row>
    <row r="29" customFormat="false" ht="15.6" hidden="false" customHeight="true" outlineLevel="0" collapsed="false">
      <c r="A29" s="61"/>
      <c r="B29" s="61"/>
      <c r="J29" s="61"/>
    </row>
    <row r="30" customFormat="false" ht="15.6" hidden="false" customHeight="true" outlineLevel="0" collapsed="false">
      <c r="A30" s="61"/>
      <c r="B30" s="61"/>
      <c r="J30" s="61"/>
    </row>
    <row r="31" customFormat="false" ht="15.6" hidden="false" customHeight="true" outlineLevel="0" collapsed="false">
      <c r="A31" s="61"/>
      <c r="B31" s="61"/>
      <c r="J31" s="61"/>
    </row>
    <row r="32" customFormat="false" ht="15.6" hidden="false" customHeight="true" outlineLevel="0" collapsed="false">
      <c r="A32" s="61"/>
      <c r="B32" s="61"/>
      <c r="C32" s="61"/>
      <c r="D32" s="61"/>
      <c r="E32" s="61"/>
      <c r="F32" s="61"/>
      <c r="G32" s="61"/>
      <c r="H32" s="61"/>
      <c r="I32" s="61"/>
      <c r="J32" s="61"/>
    </row>
    <row r="33" customFormat="false" ht="15.6" hidden="false" customHeight="true" outlineLevel="0" collapsed="false">
      <c r="A33" s="61"/>
      <c r="B33" s="61"/>
      <c r="J33" s="61"/>
    </row>
    <row r="34" customFormat="false" ht="15.6" hidden="false" customHeight="true" outlineLevel="0" collapsed="false">
      <c r="A34" s="61"/>
      <c r="B34" s="61"/>
      <c r="J34" s="61"/>
    </row>
    <row r="35" customFormat="false" ht="15.6" hidden="false" customHeight="true" outlineLevel="0" collapsed="false">
      <c r="A35" s="61"/>
      <c r="B35" s="61"/>
      <c r="C35" s="61"/>
      <c r="D35" s="61"/>
      <c r="E35" s="61"/>
      <c r="F35" s="61"/>
      <c r="G35" s="61"/>
      <c r="H35" s="61"/>
      <c r="I35" s="61"/>
      <c r="J35" s="61"/>
    </row>
    <row r="36" customFormat="false" ht="15.6" hidden="false" customHeight="true" outlineLevel="0" collapsed="false">
      <c r="A36" s="61"/>
      <c r="B36" s="61"/>
      <c r="J36" s="61"/>
    </row>
    <row r="37" customFormat="false" ht="15.6" hidden="false" customHeight="true" outlineLevel="0" collapsed="false">
      <c r="A37" s="61"/>
      <c r="B37" s="61"/>
      <c r="C37" s="61"/>
      <c r="D37" s="61"/>
      <c r="E37" s="61"/>
      <c r="F37" s="61"/>
      <c r="G37" s="61"/>
      <c r="H37" s="61"/>
      <c r="I37" s="61"/>
      <c r="J37" s="61"/>
    </row>
    <row r="38" customFormat="false" ht="15.6" hidden="false" customHeight="true" outlineLevel="0" collapsed="false">
      <c r="A38" s="61"/>
      <c r="B38" s="61"/>
      <c r="J38" s="61"/>
    </row>
    <row r="39" customFormat="false" ht="15.6" hidden="false" customHeight="true" outlineLevel="0" collapsed="false">
      <c r="A39" s="61"/>
      <c r="B39" s="61"/>
      <c r="C39" s="61"/>
      <c r="D39" s="61"/>
      <c r="E39" s="61"/>
      <c r="F39" s="61"/>
      <c r="G39" s="61"/>
      <c r="H39" s="61"/>
      <c r="I39" s="61"/>
      <c r="J39" s="61"/>
    </row>
    <row r="40" customFormat="false" ht="15.6" hidden="false" customHeight="true" outlineLevel="0" collapsed="false">
      <c r="A40" s="61"/>
      <c r="B40" s="61"/>
      <c r="J40" s="61"/>
    </row>
    <row r="41" customFormat="false" ht="15.6" hidden="false" customHeight="true" outlineLevel="0" collapsed="false">
      <c r="A41" s="61"/>
      <c r="B41" s="61"/>
      <c r="J41" s="61"/>
    </row>
    <row r="42" customFormat="false" ht="15.6" hidden="false" customHeight="true" outlineLevel="0" collapsed="false">
      <c r="A42" s="61"/>
      <c r="B42" s="61"/>
      <c r="J42" s="61"/>
    </row>
    <row r="43" customFormat="false" ht="15.6" hidden="false" customHeight="true" outlineLevel="0" collapsed="false">
      <c r="A43" s="61"/>
      <c r="B43" s="61"/>
      <c r="J43" s="61"/>
    </row>
    <row r="44" customFormat="false" ht="15.6" hidden="false" customHeight="true" outlineLevel="0" collapsed="false">
      <c r="A44" s="61"/>
      <c r="B44" s="61"/>
      <c r="C44" s="61"/>
      <c r="D44" s="61"/>
      <c r="E44" s="61"/>
      <c r="F44" s="61"/>
      <c r="G44" s="61"/>
      <c r="H44" s="61"/>
      <c r="I44" s="61"/>
      <c r="J44" s="61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C1:AH38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D11" activeCellId="0" sqref="D11"/>
    </sheetView>
  </sheetViews>
  <sheetFormatPr defaultColWidth="10.16015625" defaultRowHeight="17.35" zeroHeight="false" outlineLevelRow="0" outlineLevelCol="0"/>
  <cols>
    <col collapsed="false" customWidth="false" hidden="false" outlineLevel="0" max="6" min="1" style="2" width="10.16"/>
    <col collapsed="false" customWidth="true" hidden="false" outlineLevel="0" max="7" min="7" style="2" width="33.53"/>
    <col collapsed="false" customWidth="false" hidden="false" outlineLevel="0" max="16" min="8" style="2" width="10.16"/>
    <col collapsed="false" customWidth="true" hidden="false" outlineLevel="0" max="17" min="17" style="2" width="11.61"/>
    <col collapsed="false" customWidth="false" hidden="false" outlineLevel="0" max="24" min="18" style="2" width="10.16"/>
    <col collapsed="false" customWidth="true" hidden="false" outlineLevel="0" max="25" min="25" style="2" width="27.09"/>
    <col collapsed="false" customWidth="false" hidden="false" outlineLevel="0" max="16384" min="26" style="2" width="10.16"/>
  </cols>
  <sheetData>
    <row r="1" customFormat="false" ht="17.35" hidden="false" customHeight="false" outlineLevel="0" collapsed="false">
      <c r="C1" s="2" t="s">
        <v>98</v>
      </c>
      <c r="G1" s="2" t="s">
        <v>79</v>
      </c>
      <c r="K1" s="2" t="s">
        <v>99</v>
      </c>
      <c r="O1" s="2" t="s">
        <v>100</v>
      </c>
      <c r="R1" s="2" t="s">
        <v>101</v>
      </c>
      <c r="S1" s="2" t="n">
        <v>0.2</v>
      </c>
      <c r="U1" s="2" t="s">
        <v>102</v>
      </c>
      <c r="V1" s="2" t="n">
        <v>1.8</v>
      </c>
    </row>
    <row r="2" customFormat="false" ht="17.35" hidden="false" customHeight="false" outlineLevel="0" collapsed="false">
      <c r="G2" s="2" t="s">
        <v>103</v>
      </c>
      <c r="Y2" s="2" t="s">
        <v>104</v>
      </c>
      <c r="AB2" s="2" t="s">
        <v>105</v>
      </c>
      <c r="AD2" s="2" t="s">
        <v>106</v>
      </c>
      <c r="AE2" s="1"/>
      <c r="AG2" s="2" t="s">
        <v>107</v>
      </c>
    </row>
    <row r="3" customFormat="false" ht="17.35" hidden="false" customHeight="false" outlineLevel="0" collapsed="false">
      <c r="D3" s="2" t="n">
        <v>6000</v>
      </c>
      <c r="G3" s="2" t="s">
        <v>108</v>
      </c>
      <c r="K3" s="2" t="s">
        <v>109</v>
      </c>
      <c r="O3" s="2" t="s">
        <v>110</v>
      </c>
      <c r="P3" s="2" t="s">
        <v>82</v>
      </c>
      <c r="Q3" s="2" t="s">
        <v>111</v>
      </c>
      <c r="R3" s="2" t="s">
        <v>112</v>
      </c>
      <c r="S3" s="2" t="s">
        <v>113</v>
      </c>
      <c r="T3" s="2" t="s">
        <v>114</v>
      </c>
      <c r="U3" s="2" t="s">
        <v>115</v>
      </c>
      <c r="V3" s="2" t="s">
        <v>116</v>
      </c>
    </row>
    <row r="4" customFormat="false" ht="17.35" hidden="false" customHeight="false" outlineLevel="0" collapsed="false">
      <c r="C4" s="2" t="s">
        <v>82</v>
      </c>
      <c r="D4" s="15" t="n">
        <v>4123.40425531915</v>
      </c>
      <c r="E4" s="62" t="n">
        <f aca="false">D4/1000*1.8</f>
        <v>7.42212765957447</v>
      </c>
      <c r="G4" s="2" t="s">
        <v>117</v>
      </c>
      <c r="K4" s="2" t="s">
        <v>118</v>
      </c>
      <c r="O4" s="2" t="n">
        <v>0.52</v>
      </c>
      <c r="P4" s="2" t="n">
        <f aca="false">O4/1.55*$V$1</f>
        <v>0.603870967741936</v>
      </c>
      <c r="Q4" s="2" t="n">
        <f aca="false">O4/1.55*16/1000*3</f>
        <v>0.0161032258064516</v>
      </c>
      <c r="R4" s="2" t="n">
        <f aca="false">$S$1*O4/1.55</f>
        <v>0.0670967741935484</v>
      </c>
      <c r="S4" s="2" t="n">
        <f aca="false">(P4+Q4+R4)/O4</f>
        <v>1.32129032258065</v>
      </c>
      <c r="T4" s="2" t="n">
        <f aca="false">3.5/O4</f>
        <v>6.73076923076923</v>
      </c>
      <c r="U4" s="2" t="n">
        <f aca="false">T4-S4</f>
        <v>5.40947890818859</v>
      </c>
      <c r="V4" s="63" t="n">
        <f aca="false">U4/T4</f>
        <v>0.80369400921659</v>
      </c>
      <c r="Y4" s="2" t="s">
        <v>119</v>
      </c>
      <c r="Z4" s="2" t="n">
        <v>0.25</v>
      </c>
      <c r="AA4" s="2" t="n">
        <f aca="false">Z4/1.55*1.8</f>
        <v>0.290322580645161</v>
      </c>
      <c r="AB4" s="2" t="n">
        <v>0.25</v>
      </c>
      <c r="AC4" s="2" t="n">
        <f aca="false">AB4/1.55*1.8</f>
        <v>0.290322580645161</v>
      </c>
      <c r="AD4" s="2" t="n">
        <v>0.25</v>
      </c>
      <c r="AE4" s="2" t="n">
        <f aca="false">AD4/1.55*1.8</f>
        <v>0.290322580645161</v>
      </c>
      <c r="AG4" s="2" t="n">
        <v>0.25</v>
      </c>
      <c r="AH4" s="2" t="n">
        <f aca="false">AG4/1.55*1.8</f>
        <v>0.290322580645161</v>
      </c>
    </row>
    <row r="5" customFormat="false" ht="17.35" hidden="false" customHeight="false" outlineLevel="0" collapsed="false">
      <c r="C5" s="2" t="s">
        <v>6</v>
      </c>
      <c r="D5" s="15" t="n">
        <v>1052.23404255319</v>
      </c>
      <c r="E5" s="62"/>
      <c r="O5" s="2" t="n">
        <v>0.9</v>
      </c>
      <c r="P5" s="2" t="n">
        <f aca="false">O5/1.55*$V$1</f>
        <v>1.04516129032258</v>
      </c>
      <c r="Q5" s="2" t="n">
        <f aca="false">O5/1.55*16/1000*3</f>
        <v>0.0278709677419355</v>
      </c>
      <c r="R5" s="2" t="n">
        <f aca="false">$S$1*O5/1.55</f>
        <v>0.116129032258065</v>
      </c>
      <c r="S5" s="2" t="n">
        <f aca="false">(P5+Q5+R5)/O5</f>
        <v>1.32129032258064</v>
      </c>
      <c r="T5" s="2" t="n">
        <f aca="false">5/0.8</f>
        <v>6.25</v>
      </c>
      <c r="U5" s="2" t="n">
        <f aca="false">T5-S5</f>
        <v>4.92870967741936</v>
      </c>
      <c r="V5" s="63" t="n">
        <f aca="false">U5/T5</f>
        <v>0.788593548387097</v>
      </c>
      <c r="Y5" s="2" t="s">
        <v>120</v>
      </c>
      <c r="Z5" s="2" t="n">
        <v>0.1</v>
      </c>
      <c r="AA5" s="2" t="n">
        <f aca="false">Z5*8</f>
        <v>0.8</v>
      </c>
    </row>
    <row r="6" customFormat="false" ht="17.35" hidden="false" customHeight="false" outlineLevel="0" collapsed="false">
      <c r="C6" s="2" t="s">
        <v>121</v>
      </c>
      <c r="D6" s="15" t="n">
        <v>4.12340425531915</v>
      </c>
      <c r="E6" s="62"/>
      <c r="G6" s="2" t="s">
        <v>82</v>
      </c>
      <c r="H6" s="1" t="n">
        <v>1000</v>
      </c>
      <c r="I6" s="2" t="n">
        <f aca="false">H6/1000*4</f>
        <v>4</v>
      </c>
      <c r="K6" s="2" t="n">
        <v>1000</v>
      </c>
      <c r="L6" s="2" t="n">
        <f aca="false">K6/1000*4</f>
        <v>4</v>
      </c>
      <c r="O6" s="2" t="n">
        <v>1.18</v>
      </c>
      <c r="P6" s="2" t="n">
        <f aca="false">O6/1.55*$V$1</f>
        <v>1.37032258064516</v>
      </c>
      <c r="Q6" s="2" t="n">
        <f aca="false">O6/1.55*16/1000*3</f>
        <v>0.036541935483871</v>
      </c>
      <c r="R6" s="2" t="n">
        <f aca="false">$S$1*O6/1.55</f>
        <v>0.152258064516129</v>
      </c>
      <c r="S6" s="2" t="n">
        <f aca="false">(P6+Q6+R6)/O6</f>
        <v>1.32129032258064</v>
      </c>
      <c r="T6" s="2" t="n">
        <f aca="false">6</f>
        <v>6</v>
      </c>
      <c r="U6" s="2" t="n">
        <f aca="false">T6-S6</f>
        <v>4.67870967741936</v>
      </c>
      <c r="V6" s="63" t="n">
        <f aca="false">U6/T6</f>
        <v>0.779784946236559</v>
      </c>
      <c r="Y6" s="2" t="s">
        <v>122</v>
      </c>
      <c r="Z6" s="2" t="n">
        <v>0.1</v>
      </c>
      <c r="AA6" s="2" t="n">
        <f aca="false">Z6*10.5</f>
        <v>1.05</v>
      </c>
      <c r="AB6" s="2" t="n">
        <v>0.1</v>
      </c>
      <c r="AC6" s="2" t="n">
        <f aca="false">AB6*10.5</f>
        <v>1.05</v>
      </c>
    </row>
    <row r="7" customFormat="false" ht="17.35" hidden="false" customHeight="false" outlineLevel="0" collapsed="false">
      <c r="C7" s="1" t="s">
        <v>8</v>
      </c>
      <c r="D7" s="15" t="n">
        <v>76.5957446808511</v>
      </c>
      <c r="E7" s="62" t="n">
        <f aca="false">D7/1000*3</f>
        <v>0.229787234042553</v>
      </c>
      <c r="G7" s="2" t="s">
        <v>84</v>
      </c>
      <c r="H7" s="1" t="n">
        <f aca="false">H6*2</f>
        <v>2000</v>
      </c>
      <c r="I7" s="2" t="n">
        <f aca="false">H7/1000*2</f>
        <v>4</v>
      </c>
      <c r="O7" s="2" t="n">
        <v>1.8</v>
      </c>
      <c r="P7" s="2" t="n">
        <f aca="false">O7/1.55*$V$1</f>
        <v>2.09032258064516</v>
      </c>
      <c r="Q7" s="2" t="n">
        <f aca="false">O7/1.55*16/1000*3</f>
        <v>0.055741935483871</v>
      </c>
      <c r="R7" s="2" t="n">
        <f aca="false">$S$1*O7/1.55</f>
        <v>0.232258064516129</v>
      </c>
      <c r="S7" s="2" t="n">
        <f aca="false">(P7+Q7+R7)/O7</f>
        <v>1.32129032258064</v>
      </c>
      <c r="T7" s="2" t="n">
        <f aca="false">8/1.5</f>
        <v>5.33333333333333</v>
      </c>
      <c r="U7" s="2" t="n">
        <f aca="false">T7-S7</f>
        <v>4.01204301075269</v>
      </c>
      <c r="V7" s="63" t="n">
        <f aca="false">U7/T7</f>
        <v>0.752258064516129</v>
      </c>
      <c r="Y7" s="2" t="s">
        <v>123</v>
      </c>
      <c r="Z7" s="2" t="n">
        <v>0.05</v>
      </c>
      <c r="AA7" s="2" t="n">
        <f aca="false">Z7*Z32</f>
        <v>0.165876777251185</v>
      </c>
    </row>
    <row r="8" customFormat="false" ht="17.35" hidden="false" customHeight="false" outlineLevel="0" collapsed="false">
      <c r="C8" s="2" t="s">
        <v>10</v>
      </c>
      <c r="D8" s="15" t="n">
        <v>274.468085106383</v>
      </c>
      <c r="E8" s="62" t="n">
        <f aca="false">D8/1000*6.5</f>
        <v>1.78404255319149</v>
      </c>
      <c r="G8" s="2" t="s">
        <v>86</v>
      </c>
      <c r="H8" s="1" t="n">
        <f aca="false">H6/500*3</f>
        <v>6</v>
      </c>
      <c r="I8" s="2" t="n">
        <f aca="false">H8*0.5/1.055</f>
        <v>2.8436018957346</v>
      </c>
      <c r="O8" s="2" t="n">
        <v>0.7</v>
      </c>
      <c r="P8" s="2" t="n">
        <f aca="false">O8/1.55*$V$1</f>
        <v>0.812903225806452</v>
      </c>
      <c r="Q8" s="2" t="n">
        <f aca="false">O8/1.55*16/1000*3</f>
        <v>0.0216774193548387</v>
      </c>
      <c r="R8" s="2" t="n">
        <f aca="false">$S$1*O8/1.55</f>
        <v>0.0903225806451613</v>
      </c>
      <c r="S8" s="2" t="n">
        <f aca="false">(P8+Q8+R8)/O8</f>
        <v>1.32129032258065</v>
      </c>
      <c r="T8" s="2" t="n">
        <f aca="false">4/O8</f>
        <v>5.71428571428571</v>
      </c>
      <c r="U8" s="2" t="n">
        <f aca="false">T8-S8</f>
        <v>4.39299539170507</v>
      </c>
      <c r="V8" s="63" t="n">
        <f aca="false">U8/T8</f>
        <v>0.768774193548387</v>
      </c>
      <c r="Y8" s="2" t="s">
        <v>124</v>
      </c>
      <c r="Z8" s="2" t="n">
        <v>0.05</v>
      </c>
      <c r="AA8" s="2" t="n">
        <f aca="false">Z8*25</f>
        <v>1.25</v>
      </c>
      <c r="AD8" s="2" t="n">
        <v>0.05</v>
      </c>
      <c r="AE8" s="2" t="n">
        <f aca="false">AD8*25</f>
        <v>1.25</v>
      </c>
    </row>
    <row r="9" customFormat="false" ht="17.35" hidden="false" customHeight="false" outlineLevel="0" collapsed="false">
      <c r="C9" s="2" t="s">
        <v>11</v>
      </c>
      <c r="D9" s="15" t="n">
        <v>274.468085106383</v>
      </c>
      <c r="E9" s="62" t="n">
        <f aca="false">D9/1000*4.12</f>
        <v>1.1308085106383</v>
      </c>
      <c r="G9" s="2" t="s">
        <v>10</v>
      </c>
      <c r="H9" s="1" t="n">
        <f aca="false">H6/500*50</f>
        <v>100</v>
      </c>
      <c r="I9" s="2" t="n">
        <f aca="false">H9/1000*6</f>
        <v>0.6</v>
      </c>
      <c r="Y9" s="2" t="s">
        <v>125</v>
      </c>
      <c r="Z9" s="2" t="n">
        <v>0.08</v>
      </c>
      <c r="AA9" s="2" t="n">
        <f aca="false">Z9*Z33</f>
        <v>1.06161137440758</v>
      </c>
    </row>
    <row r="10" customFormat="false" ht="17.35" hidden="false" customHeight="false" outlineLevel="0" collapsed="false">
      <c r="C10" s="2" t="s">
        <v>12</v>
      </c>
      <c r="D10" s="15" t="n">
        <v>1212.76595744681</v>
      </c>
      <c r="E10" s="62" t="n">
        <f aca="false">D10/1000*1.95</f>
        <v>2.36489361702128</v>
      </c>
      <c r="G10" s="2" t="s">
        <v>6</v>
      </c>
      <c r="H10" s="1"/>
      <c r="Y10" s="2" t="s">
        <v>126</v>
      </c>
      <c r="AB10" s="2" t="n">
        <v>0.08</v>
      </c>
      <c r="AC10" s="2" t="n">
        <f aca="false">AB10*Z34</f>
        <v>2.42654028436019</v>
      </c>
    </row>
    <row r="11" customFormat="false" ht="17.35" hidden="false" customHeight="false" outlineLevel="0" collapsed="false">
      <c r="C11" s="2" t="s">
        <v>112</v>
      </c>
      <c r="D11" s="2" t="n">
        <f aca="false">D3/1000*S1</f>
        <v>1.2</v>
      </c>
      <c r="E11" s="2" t="n">
        <f aca="false">D11*3*0.3</f>
        <v>1.08</v>
      </c>
      <c r="G11" s="2" t="s">
        <v>8</v>
      </c>
      <c r="H11" s="1"/>
      <c r="Y11" s="2" t="s">
        <v>127</v>
      </c>
      <c r="AB11" s="2" t="n">
        <v>0.1</v>
      </c>
      <c r="AC11" s="2" t="n">
        <f aca="false">AB11*$Z$35</f>
        <v>0.568720379146919</v>
      </c>
      <c r="AD11" s="2" t="n">
        <v>0.1</v>
      </c>
      <c r="AE11" s="2" t="n">
        <f aca="false">AD11*$Z$35</f>
        <v>0.568720379146919</v>
      </c>
      <c r="AG11" s="2" t="n">
        <v>0.1</v>
      </c>
      <c r="AH11" s="2" t="n">
        <f aca="false">AG11*$Z$35</f>
        <v>0.568720379146919</v>
      </c>
    </row>
    <row r="12" customFormat="false" ht="17.35" hidden="false" customHeight="false" outlineLevel="0" collapsed="false">
      <c r="C12" s="1"/>
      <c r="D12" s="1"/>
      <c r="E12" s="1"/>
      <c r="G12" s="2" t="s">
        <v>128</v>
      </c>
      <c r="H12" s="1" t="n">
        <f aca="false">H6/500*0.5</f>
        <v>1</v>
      </c>
      <c r="I12" s="1" t="n">
        <f aca="false">H12*3*0.25</f>
        <v>0.75</v>
      </c>
      <c r="K12" s="1" t="n">
        <f aca="false">0.34/500*K6</f>
        <v>0.68</v>
      </c>
      <c r="L12" s="1" t="n">
        <f aca="false">K12*3*0.25</f>
        <v>0.51</v>
      </c>
      <c r="Y12" s="2" t="s">
        <v>129</v>
      </c>
      <c r="AB12" s="2" t="n">
        <v>0.1</v>
      </c>
      <c r="AC12" s="2" t="n">
        <f aca="false">AB12*Z33</f>
        <v>1.32701421800948</v>
      </c>
      <c r="AG12" s="1"/>
      <c r="AH12" s="1"/>
    </row>
    <row r="13" customFormat="false" ht="17.35" hidden="false" customHeight="false" outlineLevel="0" collapsed="false">
      <c r="G13" s="2" t="s">
        <v>130</v>
      </c>
      <c r="H13" s="1" t="n">
        <v>0.5</v>
      </c>
      <c r="I13" s="43" t="n">
        <f aca="false">I17*H13</f>
        <v>19.5</v>
      </c>
      <c r="K13" s="1" t="n">
        <v>0.34</v>
      </c>
      <c r="L13" s="43" t="n">
        <f aca="false">L17*K13</f>
        <v>12.172</v>
      </c>
      <c r="Y13" s="2" t="s">
        <v>131</v>
      </c>
      <c r="AD13" s="2" t="n">
        <v>0.07</v>
      </c>
      <c r="AE13" s="2" t="n">
        <f aca="false">AD13*Z33</f>
        <v>0.928909952606635</v>
      </c>
      <c r="AG13" s="2" t="n">
        <v>0.08</v>
      </c>
      <c r="AH13" s="2" t="n">
        <f aca="false">AG13*$Z$33</f>
        <v>1.06161137440758</v>
      </c>
    </row>
    <row r="14" customFormat="false" ht="17.35" hidden="false" customHeight="false" outlineLevel="0" collapsed="false">
      <c r="C14" s="2" t="s">
        <v>132</v>
      </c>
      <c r="E14" s="2" t="n">
        <f aca="false">SUM(E4:E11)</f>
        <v>14.0116595744681</v>
      </c>
      <c r="G14" s="1" t="s">
        <v>133</v>
      </c>
      <c r="H14" s="1"/>
      <c r="I14" s="2" t="n">
        <f aca="false">SUM(I6:I13)</f>
        <v>31.6936018957346</v>
      </c>
      <c r="L14" s="2" t="n">
        <f aca="false">SUM(L6:L13)</f>
        <v>16.682</v>
      </c>
      <c r="Y14" s="2" t="s">
        <v>134</v>
      </c>
      <c r="AD14" s="2" t="n">
        <v>0.05</v>
      </c>
      <c r="AE14" s="2" t="n">
        <f aca="false">AD14*30</f>
        <v>1.5</v>
      </c>
    </row>
    <row r="15" customFormat="false" ht="17.35" hidden="false" customHeight="false" outlineLevel="0" collapsed="false">
      <c r="C15" s="2" t="s">
        <v>135</v>
      </c>
      <c r="E15" s="2" t="n">
        <f aca="false">E14/6</f>
        <v>2.33527659574468</v>
      </c>
      <c r="G15" s="2" t="s">
        <v>136</v>
      </c>
      <c r="H15" s="2" t="n">
        <f aca="false">H6/500*18</f>
        <v>36</v>
      </c>
      <c r="K15" s="2" t="n">
        <v>20</v>
      </c>
    </row>
    <row r="16" customFormat="false" ht="17.35" hidden="false" customHeight="false" outlineLevel="0" collapsed="false">
      <c r="C16" s="2" t="s">
        <v>114</v>
      </c>
      <c r="E16" s="2" t="n">
        <v>8</v>
      </c>
      <c r="G16" s="2" t="s">
        <v>137</v>
      </c>
      <c r="H16" s="2" t="n">
        <f aca="false">I14/H15</f>
        <v>0.880377830437072</v>
      </c>
      <c r="K16" s="2" t="n">
        <f aca="false">L14/K15</f>
        <v>0.8341</v>
      </c>
      <c r="O16" s="2" t="s">
        <v>138</v>
      </c>
      <c r="Y16" s="2" t="s">
        <v>139</v>
      </c>
      <c r="AA16" s="2" t="n">
        <f aca="false">SUM(AA4:AA9)</f>
        <v>4.61781073230393</v>
      </c>
      <c r="AC16" s="2" t="n">
        <f aca="false">SUM(AC4:AC14)</f>
        <v>5.66259746216175</v>
      </c>
      <c r="AE16" s="2" t="n">
        <f aca="false">SUM(AE4:AE14)</f>
        <v>4.53795291239872</v>
      </c>
      <c r="AH16" s="2" t="n">
        <f aca="false">SUM(AH4:AH14)</f>
        <v>1.92065433419966</v>
      </c>
    </row>
    <row r="17" customFormat="false" ht="17.35" hidden="false" customHeight="false" outlineLevel="0" collapsed="false">
      <c r="C17" s="2" t="s">
        <v>140</v>
      </c>
      <c r="E17" s="2" t="n">
        <f aca="false">E16-E15</f>
        <v>5.66472340425532</v>
      </c>
      <c r="G17" s="2" t="s">
        <v>141</v>
      </c>
      <c r="I17" s="2" t="n">
        <v>39</v>
      </c>
      <c r="L17" s="2" t="n">
        <v>35.8</v>
      </c>
      <c r="O17" s="2" t="s">
        <v>142</v>
      </c>
      <c r="R17" s="2" t="n">
        <v>3</v>
      </c>
    </row>
    <row r="18" customFormat="false" ht="17.35" hidden="false" customHeight="false" outlineLevel="0" collapsed="false">
      <c r="C18" s="63" t="s">
        <v>116</v>
      </c>
      <c r="D18" s="63"/>
      <c r="E18" s="63" t="n">
        <f aca="false">E17/E16</f>
        <v>0.708090425531915</v>
      </c>
      <c r="O18" s="2" t="s">
        <v>143</v>
      </c>
      <c r="R18" s="2" t="n">
        <f aca="false">9</f>
        <v>9</v>
      </c>
      <c r="Y18" s="2" t="s">
        <v>144</v>
      </c>
      <c r="Z18" s="64" t="n">
        <f aca="false">1/6</f>
        <v>0.166666666666667</v>
      </c>
      <c r="AA18" s="2" t="n">
        <f aca="false">Z18*Z19</f>
        <v>5.83333333333333</v>
      </c>
      <c r="AC18" s="2" t="n">
        <f aca="false">AA18</f>
        <v>5.83333333333333</v>
      </c>
      <c r="AE18" s="2" t="n">
        <f aca="false">AC18</f>
        <v>5.83333333333333</v>
      </c>
      <c r="AH18" s="2" t="n">
        <f aca="false">AE18</f>
        <v>5.83333333333333</v>
      </c>
    </row>
    <row r="19" customFormat="false" ht="17.35" hidden="false" customHeight="false" outlineLevel="0" collapsed="false">
      <c r="O19" s="2" t="s">
        <v>145</v>
      </c>
      <c r="R19" s="2" t="n">
        <v>12</v>
      </c>
      <c r="Y19" s="2" t="s">
        <v>146</v>
      </c>
      <c r="Z19" s="2" t="n">
        <v>35</v>
      </c>
    </row>
    <row r="20" customFormat="false" ht="17.35" hidden="false" customHeight="false" outlineLevel="0" collapsed="false">
      <c r="C20" s="2" t="s">
        <v>147</v>
      </c>
      <c r="E20" s="2" t="n">
        <f aca="false">11</f>
        <v>11</v>
      </c>
      <c r="O20" s="2" t="s">
        <v>148</v>
      </c>
      <c r="Y20" s="2" t="s">
        <v>112</v>
      </c>
      <c r="Z20" s="1"/>
      <c r="AA20" s="2" t="n">
        <f aca="false">10/60*3*0.25</f>
        <v>0.125</v>
      </c>
      <c r="AC20" s="2" t="n">
        <f aca="false">AA20</f>
        <v>0.125</v>
      </c>
      <c r="AE20" s="2" t="n">
        <f aca="false">AC20</f>
        <v>0.125</v>
      </c>
      <c r="AH20" s="2" t="n">
        <f aca="false">AE20</f>
        <v>0.125</v>
      </c>
    </row>
    <row r="21" customFormat="false" ht="17.35" hidden="false" customHeight="false" outlineLevel="0" collapsed="false">
      <c r="C21" s="2" t="s">
        <v>149</v>
      </c>
      <c r="E21" s="2" t="n">
        <f aca="false">E15*1.5</f>
        <v>3.50291489361702</v>
      </c>
      <c r="O21" s="2" t="s">
        <v>150</v>
      </c>
      <c r="R21" s="2" t="n">
        <f aca="false">50*5</f>
        <v>250</v>
      </c>
      <c r="Z21" s="1"/>
    </row>
    <row r="22" customFormat="false" ht="17.35" hidden="false" customHeight="false" outlineLevel="0" collapsed="false">
      <c r="C22" s="2" t="s">
        <v>140</v>
      </c>
      <c r="E22" s="2" t="n">
        <f aca="false">E20-E21</f>
        <v>7.49708510638298</v>
      </c>
      <c r="O22" s="2" t="s">
        <v>146</v>
      </c>
      <c r="R22" s="2" t="n">
        <f aca="false">R21/12</f>
        <v>20.8333333333333</v>
      </c>
      <c r="Y22" s="2" t="s">
        <v>151</v>
      </c>
      <c r="AA22" s="2" t="n">
        <f aca="false">AA16+AA18+AA20</f>
        <v>10.5761440656373</v>
      </c>
      <c r="AC22" s="2" t="n">
        <f aca="false">AC16+AC18+AC20</f>
        <v>11.6209307954951</v>
      </c>
      <c r="AE22" s="2" t="n">
        <f aca="false">AE16+AE18+AE20</f>
        <v>10.496286245732</v>
      </c>
      <c r="AH22" s="2" t="n">
        <f aca="false">AH16+AH18+AH20</f>
        <v>7.878987667533</v>
      </c>
    </row>
    <row r="23" customFormat="false" ht="17.35" hidden="false" customHeight="false" outlineLevel="0" collapsed="false">
      <c r="C23" s="63" t="s">
        <v>116</v>
      </c>
      <c r="D23" s="63"/>
      <c r="E23" s="63" t="n">
        <f aca="false">E22/E20</f>
        <v>0.681553191489362</v>
      </c>
      <c r="H23" s="2" t="n">
        <v>1</v>
      </c>
      <c r="I23" s="64" t="n">
        <f aca="false">H23*H16</f>
        <v>0.880377830437072</v>
      </c>
      <c r="J23" s="62" t="n">
        <f aca="false">I23</f>
        <v>0.880377830437072</v>
      </c>
      <c r="K23" s="2" t="n">
        <v>1</v>
      </c>
      <c r="L23" s="64" t="n">
        <f aca="false">K23*$K$16</f>
        <v>0.8341</v>
      </c>
      <c r="M23" s="62" t="n">
        <f aca="false">L23</f>
        <v>0.8341</v>
      </c>
      <c r="Y23" s="2" t="s">
        <v>147</v>
      </c>
      <c r="AA23" s="2" t="n">
        <f aca="false">ROUNDUP(AA22,0)</f>
        <v>11</v>
      </c>
      <c r="AC23" s="2" t="n">
        <f aca="false">ROUNDUP(AC22,0)</f>
        <v>12</v>
      </c>
      <c r="AE23" s="2" t="n">
        <f aca="false">ROUNDUP(AE22,0)</f>
        <v>11</v>
      </c>
      <c r="AH23" s="2" t="n">
        <f aca="false">ROUNDUP(AH22,0)</f>
        <v>8</v>
      </c>
    </row>
    <row r="24" customFormat="false" ht="17.35" hidden="false" customHeight="false" outlineLevel="0" collapsed="false">
      <c r="C24" s="2" t="s">
        <v>114</v>
      </c>
      <c r="E24" s="2" t="n">
        <f aca="false">E20/1.5</f>
        <v>7.33333333333333</v>
      </c>
      <c r="H24" s="2" t="n">
        <v>2</v>
      </c>
      <c r="I24" s="64" t="n">
        <f aca="false">H24*$H$16</f>
        <v>1.76075566087414</v>
      </c>
      <c r="J24" s="62" t="n">
        <f aca="false">I24</f>
        <v>1.76075566087414</v>
      </c>
      <c r="K24" s="2" t="n">
        <v>2</v>
      </c>
      <c r="L24" s="64" t="n">
        <f aca="false">K24*$K$16</f>
        <v>1.6682</v>
      </c>
      <c r="M24" s="62" t="n">
        <f aca="false">L24</f>
        <v>1.6682</v>
      </c>
      <c r="Y24" s="2" t="s">
        <v>140</v>
      </c>
      <c r="AA24" s="2" t="n">
        <f aca="false">AA23-(AA16+AA20)</f>
        <v>6.25718926769607</v>
      </c>
      <c r="AC24" s="2" t="n">
        <f aca="false">AC23-(AC16+AC20)</f>
        <v>6.21240253783825</v>
      </c>
      <c r="AE24" s="2" t="n">
        <f aca="false">AE23-(AE16+AE20)</f>
        <v>6.33704708760128</v>
      </c>
      <c r="AH24" s="2" t="n">
        <f aca="false">AH23-(AH16+AH20)</f>
        <v>5.95434566580034</v>
      </c>
    </row>
    <row r="25" customFormat="false" ht="17.35" hidden="false" customHeight="false" outlineLevel="0" collapsed="false">
      <c r="C25" s="2" t="s">
        <v>152</v>
      </c>
      <c r="E25" s="2" t="n">
        <f aca="false">E22/1.5</f>
        <v>4.99805673758865</v>
      </c>
      <c r="H25" s="2" t="n">
        <v>3</v>
      </c>
      <c r="I25" s="64" t="n">
        <f aca="false">H25*$H$16</f>
        <v>2.64113349131122</v>
      </c>
      <c r="J25" s="62" t="n">
        <f aca="false">I25</f>
        <v>2.64113349131122</v>
      </c>
      <c r="K25" s="2" t="n">
        <v>3</v>
      </c>
      <c r="L25" s="64" t="n">
        <f aca="false">K25*$K$16</f>
        <v>2.5023</v>
      </c>
      <c r="M25" s="62" t="n">
        <f aca="false">L25</f>
        <v>2.5023</v>
      </c>
      <c r="Y25" s="2" t="s">
        <v>116</v>
      </c>
      <c r="AA25" s="2" t="n">
        <f aca="false">AA24/AA23</f>
        <v>0.56883538797237</v>
      </c>
      <c r="AC25" s="2" t="n">
        <f aca="false">AC24/AC23</f>
        <v>0.517700211486521</v>
      </c>
      <c r="AE25" s="2" t="n">
        <f aca="false">AE24/AE23</f>
        <v>0.576095189781935</v>
      </c>
      <c r="AH25" s="2" t="n">
        <f aca="false">AH24/AH23</f>
        <v>0.744293208225042</v>
      </c>
    </row>
    <row r="26" customFormat="false" ht="17.35" hidden="false" customHeight="false" outlineLevel="0" collapsed="false">
      <c r="H26" s="2" t="n">
        <v>4</v>
      </c>
      <c r="I26" s="64" t="n">
        <f aca="false">H26*$H$16</f>
        <v>3.52151132174829</v>
      </c>
      <c r="J26" s="62" t="n">
        <f aca="false">I26</f>
        <v>3.52151132174829</v>
      </c>
      <c r="K26" s="2" t="n">
        <v>4</v>
      </c>
      <c r="L26" s="64" t="n">
        <f aca="false">K26*$K$16</f>
        <v>3.3364</v>
      </c>
      <c r="M26" s="62" t="n">
        <f aca="false">L26</f>
        <v>3.3364</v>
      </c>
    </row>
    <row r="27" customFormat="false" ht="17.35" hidden="false" customHeight="false" outlineLevel="0" collapsed="false">
      <c r="H27" s="2" t="n">
        <v>5</v>
      </c>
      <c r="I27" s="64" t="n">
        <f aca="false">H27*$H$16</f>
        <v>4.40188915218536</v>
      </c>
      <c r="J27" s="62" t="n">
        <f aca="false">I27</f>
        <v>4.40188915218536</v>
      </c>
      <c r="K27" s="2" t="n">
        <v>5</v>
      </c>
      <c r="L27" s="64" t="n">
        <f aca="false">K27*$K$16</f>
        <v>4.1705</v>
      </c>
      <c r="M27" s="62" t="n">
        <f aca="false">L27</f>
        <v>4.1705</v>
      </c>
      <c r="Y27" s="2" t="s">
        <v>153</v>
      </c>
      <c r="AC27" s="2" t="s">
        <v>154</v>
      </c>
    </row>
    <row r="28" customFormat="false" ht="17.35" hidden="false" customHeight="false" outlineLevel="0" collapsed="false">
      <c r="H28" s="2" t="n">
        <v>6</v>
      </c>
      <c r="I28" s="64" t="n">
        <f aca="false">H28*$H$16</f>
        <v>5.28226698262243</v>
      </c>
      <c r="J28" s="62" t="n">
        <f aca="false">I28</f>
        <v>5.28226698262243</v>
      </c>
      <c r="K28" s="2" t="n">
        <v>6</v>
      </c>
      <c r="L28" s="64" t="n">
        <f aca="false">K28*$K$16</f>
        <v>5.0046</v>
      </c>
      <c r="M28" s="62" t="n">
        <f aca="false">L28</f>
        <v>5.0046</v>
      </c>
    </row>
    <row r="29" customFormat="false" ht="17.35" hidden="false" customHeight="false" outlineLevel="0" collapsed="false">
      <c r="H29" s="2" t="n">
        <v>7</v>
      </c>
      <c r="I29" s="64" t="n">
        <f aca="false">H29*$H$16</f>
        <v>6.1626448130595</v>
      </c>
      <c r="J29" s="62" t="n">
        <f aca="false">I29</f>
        <v>6.1626448130595</v>
      </c>
      <c r="K29" s="2" t="n">
        <v>7</v>
      </c>
      <c r="L29" s="64" t="n">
        <f aca="false">K29*$K$16</f>
        <v>5.8387</v>
      </c>
      <c r="M29" s="62" t="n">
        <f aca="false">L29</f>
        <v>5.8387</v>
      </c>
      <c r="Y29" s="2" t="s">
        <v>85</v>
      </c>
      <c r="Z29" s="64" t="n">
        <v>4</v>
      </c>
      <c r="AC29" s="2" t="s">
        <v>155</v>
      </c>
      <c r="AE29" s="1"/>
      <c r="AF29" s="2" t="s">
        <v>156</v>
      </c>
    </row>
    <row r="30" customFormat="false" ht="17.35" hidden="false" customHeight="false" outlineLevel="0" collapsed="false">
      <c r="H30" s="2" t="n">
        <v>8</v>
      </c>
      <c r="I30" s="64" t="n">
        <f aca="false">H30*$H$16</f>
        <v>7.04302264349658</v>
      </c>
      <c r="J30" s="62" t="n">
        <f aca="false">I30</f>
        <v>7.04302264349658</v>
      </c>
      <c r="K30" s="2" t="n">
        <v>8</v>
      </c>
      <c r="L30" s="64" t="n">
        <f aca="false">K30*$K$16</f>
        <v>6.6728</v>
      </c>
      <c r="M30" s="62" t="n">
        <f aca="false">L30</f>
        <v>6.6728</v>
      </c>
      <c r="Y30" s="2" t="s">
        <v>46</v>
      </c>
      <c r="Z30" s="64" t="n">
        <v>4.1</v>
      </c>
      <c r="AC30" s="2" t="s">
        <v>157</v>
      </c>
      <c r="AE30" s="1"/>
      <c r="AF30" s="65" t="n">
        <v>1.1</v>
      </c>
    </row>
    <row r="31" customFormat="false" ht="17.35" hidden="false" customHeight="false" outlineLevel="0" collapsed="false">
      <c r="H31" s="2" t="n">
        <v>9</v>
      </c>
      <c r="I31" s="64" t="n">
        <f aca="false">H31*$H$16</f>
        <v>7.92340047393365</v>
      </c>
      <c r="J31" s="62" t="n">
        <f aca="false">I31</f>
        <v>7.92340047393365</v>
      </c>
      <c r="K31" s="2" t="n">
        <v>9</v>
      </c>
      <c r="L31" s="64" t="n">
        <f aca="false">K31*$K$16</f>
        <v>7.5069</v>
      </c>
      <c r="M31" s="62" t="n">
        <f aca="false">L31</f>
        <v>7.5069</v>
      </c>
      <c r="Y31" s="2" t="s">
        <v>158</v>
      </c>
      <c r="Z31" s="64" t="n">
        <f aca="false">4.1/1.055</f>
        <v>3.88625592417062</v>
      </c>
      <c r="AC31" s="2" t="s">
        <v>159</v>
      </c>
      <c r="AE31" s="1"/>
      <c r="AF31" s="65" t="n">
        <v>0.9</v>
      </c>
    </row>
    <row r="32" customFormat="false" ht="17.35" hidden="false" customHeight="false" outlineLevel="0" collapsed="false">
      <c r="H32" s="2" t="n">
        <v>10</v>
      </c>
      <c r="I32" s="64" t="n">
        <f aca="false">H32*$H$16</f>
        <v>8.80377830437072</v>
      </c>
      <c r="J32" s="62" t="n">
        <f aca="false">I32</f>
        <v>8.80377830437072</v>
      </c>
      <c r="K32" s="2" t="n">
        <v>10</v>
      </c>
      <c r="L32" s="64" t="n">
        <f aca="false">K32*$K$16</f>
        <v>8.341</v>
      </c>
      <c r="M32" s="62" t="n">
        <f aca="false">L32</f>
        <v>8.341</v>
      </c>
      <c r="Y32" s="2" t="s">
        <v>160</v>
      </c>
      <c r="Z32" s="64" t="n">
        <f aca="false">3.5/1.055</f>
        <v>3.3175355450237</v>
      </c>
    </row>
    <row r="33" customFormat="false" ht="17.35" hidden="false" customHeight="false" outlineLevel="0" collapsed="false">
      <c r="H33" s="2" t="n">
        <v>11</v>
      </c>
      <c r="I33" s="64" t="n">
        <f aca="false">H33*$H$16</f>
        <v>9.68415613480779</v>
      </c>
      <c r="J33" s="62" t="n">
        <f aca="false">I33</f>
        <v>9.68415613480779</v>
      </c>
      <c r="K33" s="2" t="n">
        <v>11</v>
      </c>
      <c r="L33" s="64" t="n">
        <f aca="false">K33*$K$16</f>
        <v>9.1751</v>
      </c>
      <c r="M33" s="62" t="n">
        <f aca="false">L33</f>
        <v>9.1751</v>
      </c>
      <c r="Y33" s="2" t="s">
        <v>161</v>
      </c>
      <c r="Z33" s="64" t="n">
        <f aca="false">14/1.055</f>
        <v>13.2701421800948</v>
      </c>
    </row>
    <row r="34" customFormat="false" ht="17.35" hidden="false" customHeight="false" outlineLevel="0" collapsed="false">
      <c r="Y34" s="2" t="s">
        <v>162</v>
      </c>
      <c r="Z34" s="64" t="n">
        <f aca="false">32/1.055</f>
        <v>30.3317535545024</v>
      </c>
    </row>
    <row r="35" customFormat="false" ht="17.35" hidden="false" customHeight="false" outlineLevel="0" collapsed="false">
      <c r="Y35" s="66" t="s">
        <v>163</v>
      </c>
      <c r="Z35" s="67" t="n">
        <f aca="false">6/1.055</f>
        <v>5.68720379146919</v>
      </c>
    </row>
    <row r="36" customFormat="false" ht="17.35" hidden="false" customHeight="false" outlineLevel="0" collapsed="false">
      <c r="Z36" s="64"/>
    </row>
    <row r="37" customFormat="false" ht="17.35" hidden="false" customHeight="false" outlineLevel="0" collapsed="false">
      <c r="Z37" s="64"/>
    </row>
    <row r="38" customFormat="false" ht="17.35" hidden="false" customHeight="false" outlineLevel="0" collapsed="false">
      <c r="Z38" s="64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Roman,Normal"&amp;12&amp;KffffffPage &amp;P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6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B7" activeCellId="0" sqref="B7"/>
    </sheetView>
  </sheetViews>
  <sheetFormatPr defaultColWidth="10.16015625" defaultRowHeight="17.35" zeroHeight="false" outlineLevelRow="0" outlineLevelCol="0"/>
  <cols>
    <col collapsed="false" customWidth="false" hidden="false" outlineLevel="0" max="16384" min="1" style="2" width="10.16"/>
  </cols>
  <sheetData>
    <row r="1" customFormat="false" ht="17.35" hidden="false" customHeight="false" outlineLevel="0" collapsed="false">
      <c r="A1" s="2" t="n">
        <v>35</v>
      </c>
      <c r="B1" s="0"/>
    </row>
    <row r="2" customFormat="false" ht="17.35" hidden="false" customHeight="false" outlineLevel="0" collapsed="false">
      <c r="B2" s="2" t="s">
        <v>164</v>
      </c>
    </row>
    <row r="3" customFormat="false" ht="17.35" hidden="false" customHeight="false" outlineLevel="0" collapsed="false">
      <c r="A3" s="0"/>
      <c r="B3" s="2" t="s">
        <v>165</v>
      </c>
    </row>
    <row r="4" customFormat="false" ht="17.35" hidden="false" customHeight="false" outlineLevel="0" collapsed="false">
      <c r="A4" s="2" t="n">
        <v>36</v>
      </c>
    </row>
    <row r="5" customFormat="false" ht="17.35" hidden="false" customHeight="false" outlineLevel="0" collapsed="false">
      <c r="B5" s="2" t="s">
        <v>166</v>
      </c>
    </row>
    <row r="6" customFormat="false" ht="17.35" hidden="false" customHeight="false" outlineLevel="0" collapsed="false">
      <c r="B6" s="2" t="s">
        <v>167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18037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2020-06-08T14:04:45Z</dcterms:created>
  <dc:creator>Unknown Creator</dc:creator>
  <dc:description/>
  <dc:language>fr-FR</dc:language>
  <cp:lastModifiedBy/>
  <cp:lastPrinted>2024-09-14T23:39:46Z</cp:lastPrinted>
  <dcterms:modified xsi:type="dcterms:W3CDTF">2024-10-07T18:25:44Z</dcterms:modified>
  <cp:revision>41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