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<sst xmlns="http://schemas.openxmlformats.org/spreadsheetml/2006/main" count="291" uniqueCount="191">
  <si>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</si>
  <si>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</si>
  <si>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</si>
  <si>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</si>
  <si>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</si>
  <si>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</si>
  <si>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</si>
  <si>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</si>
  <si>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</si>
  <si>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</si>
  <si>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</si>
  <si>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</si>
  <si>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</si>
  <si>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Pizza Meteil</t>
  </si>
  <si>
    <t xml:space="preserve">Poids total</t>
  </si>
  <si>
    <t xml:space="preserve">Pizza Nature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</si>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</sst>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Q19" activeCellId="0" sqref="Q1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7" t="s">
        <v>13</v>
      </c>
      <c r="W12" s="3" t="n">
        <v>0</v>
      </c>
    </row>
    <row r="13" customFormat="false" ht="24.85" hidden="false" customHeight="true" outlineLevel="0" collapsed="false">
      <c r="O13" s="3" t="s">
        <v>14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7" t="s">
        <v>15</v>
      </c>
      <c r="W13" s="3" t="n">
        <v>0</v>
      </c>
    </row>
    <row r="14" customFormat="false" ht="24.85" hidden="false" customHeight="true" outlineLevel="0" collapsed="false">
      <c r="O14" s="8" t="str">
        <f aca="false">"Total Eau : "&amp;ROUND(SUM($P$7:$T$7),0)</f>
        <v>Total Eau : 0</v>
      </c>
      <c r="P14" s="9"/>
      <c r="Q14" s="10" t="str">
        <f aca="false">"Total Levain : "&amp;ROUND($P$8+$Q$8+$T$8,0)</f>
        <v>Total Levain : 0</v>
      </c>
      <c r="R14" s="9"/>
      <c r="S14" s="9"/>
      <c r="T14" s="9"/>
      <c r="U14" s="10"/>
      <c r="V14" s="11"/>
      <c r="W14" s="11"/>
    </row>
    <row r="15" customFormat="false" ht="24.85" hidden="false" customHeight="true" outlineLevel="0" collapsed="false">
      <c r="O15" s="12" t="s">
        <v>16</v>
      </c>
      <c r="P15" s="13" t="s">
        <v>17</v>
      </c>
      <c r="Q15" s="12"/>
      <c r="R15" s="9" t="s">
        <v>18</v>
      </c>
      <c r="S15" s="14" t="s">
        <v>19</v>
      </c>
      <c r="T15" s="9"/>
      <c r="U15" s="10"/>
      <c r="V15" s="11"/>
      <c r="W15" s="11"/>
    </row>
    <row r="16" customFormat="false" ht="24.85" hidden="false" customHeight="true" outlineLevel="0" collapsed="false">
      <c r="O16" s="15" t="s">
        <v>20</v>
      </c>
      <c r="P16" s="13" t="s">
        <v>21</v>
      </c>
      <c r="Q16" s="12"/>
      <c r="R16" s="13" t="s">
        <v>22</v>
      </c>
      <c r="S16" s="14" t="s">
        <v>23</v>
      </c>
      <c r="T16" s="9"/>
      <c r="U16" s="10"/>
      <c r="V16" s="11"/>
      <c r="W16" s="11"/>
    </row>
    <row r="17" customFormat="false" ht="24.85" hidden="false" customHeight="true" outlineLevel="0" collapsed="false">
      <c r="O17" s="16" t="s">
        <v>24</v>
      </c>
      <c r="P17" s="17" t="s">
        <v>25</v>
      </c>
      <c r="Q17" s="12"/>
      <c r="R17" s="9"/>
      <c r="S17" s="9" t="s">
        <v>26</v>
      </c>
      <c r="T17" s="9"/>
      <c r="U17" s="10"/>
      <c r="V17" s="11" t="s">
        <v>27</v>
      </c>
      <c r="W17" s="11"/>
    </row>
    <row r="18" customFormat="false" ht="24.85" hidden="false" customHeight="true" outlineLevel="0" collapsed="false">
      <c r="O18" s="18" t="s">
        <v>28</v>
      </c>
      <c r="P18" s="19" t="n">
        <v>65</v>
      </c>
      <c r="Q18" s="19" t="n">
        <v>70</v>
      </c>
      <c r="R18" s="20" t="n">
        <v>65</v>
      </c>
      <c r="S18" s="20"/>
      <c r="T18" s="21" t="n">
        <v>65</v>
      </c>
      <c r="U18" s="10"/>
      <c r="V18" s="11"/>
      <c r="W18" s="11"/>
    </row>
    <row r="19" customFormat="false" ht="24.85" hidden="false" customHeight="true" outlineLevel="0" collapsed="false">
      <c r="O19" s="22" t="s">
        <v>29</v>
      </c>
      <c r="P19" s="23"/>
      <c r="Q19" s="23"/>
      <c r="R19" s="5"/>
      <c r="S19" s="5"/>
      <c r="T19" s="23"/>
      <c r="U19" s="10"/>
      <c r="V19" s="11"/>
      <c r="W19" s="11"/>
    </row>
    <row r="20" customFormat="false" ht="24.85" hidden="false" customHeight="true" outlineLevel="0" collapsed="false">
      <c r="O20" s="24"/>
      <c r="P20" s="23"/>
      <c r="Q20" s="23"/>
      <c r="R20" s="5"/>
      <c r="S20" s="5"/>
      <c r="T20" s="23"/>
      <c r="U20" s="10"/>
      <c r="V20" s="11"/>
      <c r="W20" s="11"/>
    </row>
    <row r="21" customFormat="false" ht="24.85" hidden="false" customHeight="true" outlineLevel="0" collapsed="false">
      <c r="O21" s="22" t="s">
        <v>30</v>
      </c>
      <c r="P21" s="23"/>
      <c r="Q21" s="23"/>
      <c r="R21" s="5"/>
      <c r="S21" s="5"/>
      <c r="T21" s="23"/>
      <c r="U21" s="10"/>
      <c r="V21" s="11"/>
      <c r="W21" s="11"/>
    </row>
    <row r="22" customFormat="false" ht="138.55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1kg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1-5kg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1kg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1kg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1-5kg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1650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1kg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1kg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1-5kg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1kg</v>
      </c>
      <c r="T42" s="37" t="n">
        <f aca="false">cp_recap!D22</f>
        <v>0</v>
      </c>
      <c r="U42" s="38"/>
      <c r="V42" s="39" t="n">
        <v>1180</v>
      </c>
    </row>
    <row r="43" customFormat="false" ht="13.5" hidden="false" customHeight="true" outlineLevel="0" collapsed="false">
      <c r="H43" s="49"/>
      <c r="K43" s="50"/>
    </row>
    <row r="44" customFormat="false" ht="13.5" hidden="false" customHeight="true" outlineLevel="0" collapsed="false">
      <c r="H44" s="49"/>
      <c r="K44" s="50"/>
    </row>
    <row r="45" customFormat="false" ht="13.5" hidden="false" customHeight="true" outlineLevel="0" collapsed="false">
      <c r="H45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18" activeCellId="0" sqref="E18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41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48</v>
      </c>
      <c r="B14" s="1" t="s">
        <v>49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48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48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50</v>
      </c>
      <c r="B17" s="1" t="s">
        <v>38</v>
      </c>
      <c r="C17" s="1" t="s">
        <v>45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50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50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50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50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50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T9" activeCellId="0" sqref="T9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51</v>
      </c>
      <c r="C1" s="1" t="s">
        <v>52</v>
      </c>
      <c r="D1" s="1" t="s">
        <v>1</v>
      </c>
      <c r="E1" s="1" t="s">
        <v>2</v>
      </c>
      <c r="G1" s="1" t="s">
        <v>53</v>
      </c>
      <c r="H1" s="1" t="s">
        <v>54</v>
      </c>
      <c r="I1" s="54" t="s">
        <v>55</v>
      </c>
      <c r="K1" s="1" t="s">
        <v>56</v>
      </c>
      <c r="L1" s="1" t="s">
        <v>57</v>
      </c>
      <c r="Q1" s="1" t="n">
        <f aca="false">685*I2/650</f>
        <v>0</v>
      </c>
      <c r="T1" s="54" t="s">
        <v>51</v>
      </c>
      <c r="U1" s="54" t="s">
        <v>2</v>
      </c>
    </row>
    <row r="2" customFormat="false" ht="14.25" hidden="false" customHeight="true" outlineLevel="0" collapsed="false">
      <c r="A2" s="1" t="s">
        <v>3</v>
      </c>
      <c r="B2" s="55" t="n">
        <f aca="false">SUM(cp_recap!E17:E22)*1000+(I2-I6-I7)</f>
        <v>0</v>
      </c>
      <c r="C2" s="55" t="n">
        <f aca="false">SUM(cp_recap!E14:E16)*1000</f>
        <v>0</v>
      </c>
      <c r="E2" s="55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4" t="n">
        <f aca="false">SUM(cp_recap!E9:E10)*1000</f>
        <v>0</v>
      </c>
      <c r="K2" s="55" t="n">
        <f aca="false">(SUM(cp_recap!E11:E13)*1000)</f>
        <v>0</v>
      </c>
      <c r="L2" s="1" t="n">
        <f aca="false">cp_recap!D20*1000</f>
        <v>0</v>
      </c>
      <c r="N2" s="1" t="s">
        <v>58</v>
      </c>
      <c r="O2" s="1" t="n">
        <f aca="false">B2+C2+E2+I6+K2</f>
        <v>0</v>
      </c>
      <c r="T2" s="54" t="n">
        <v>4350</v>
      </c>
      <c r="U2" s="54" t="n">
        <f aca="false">3400</f>
        <v>3400</v>
      </c>
    </row>
    <row r="3" customFormat="false" ht="14.25" hidden="false" customHeight="true" outlineLevel="0" collapsed="false">
      <c r="B3" s="56"/>
      <c r="C3" s="56"/>
      <c r="D3" s="56"/>
      <c r="E3" s="56"/>
      <c r="F3" s="56"/>
      <c r="G3" s="56"/>
      <c r="H3" s="56"/>
      <c r="I3" s="54"/>
      <c r="K3" s="56"/>
      <c r="L3" s="56"/>
      <c r="N3" s="1" t="s">
        <v>59</v>
      </c>
      <c r="O3" s="1" t="n">
        <f aca="false">SUM(cp_recap!E3:E22)*1000</f>
        <v>0</v>
      </c>
      <c r="T3" s="57"/>
      <c r="U3" s="57"/>
    </row>
    <row r="4" customFormat="false" ht="14.25" hidden="false" customHeight="true" outlineLevel="0" collapsed="false">
      <c r="I4" s="54"/>
      <c r="L4" s="56"/>
      <c r="T4" s="57"/>
      <c r="U4" s="57"/>
    </row>
    <row r="5" customFormat="false" ht="14.25" hidden="false" customHeight="true" outlineLevel="0" collapsed="false">
      <c r="A5" s="1" t="s">
        <v>60</v>
      </c>
      <c r="B5" s="56"/>
      <c r="C5" s="56" t="n">
        <f aca="false">$C4/I$19*I$20</f>
        <v>0</v>
      </c>
      <c r="D5" s="56" t="n">
        <f aca="false">$D4/J$19*J$20</f>
        <v>0</v>
      </c>
      <c r="E5" s="56" t="n">
        <f aca="false">$E$2/$U$2*U5</f>
        <v>0</v>
      </c>
      <c r="G5" s="56" t="n">
        <f aca="false">$G2/L$19*L$22</f>
        <v>0</v>
      </c>
      <c r="H5" s="56" t="n">
        <f aca="false">G5+B5</f>
        <v>0</v>
      </c>
      <c r="I5" s="58" t="n">
        <f aca="false">693*I2/665</f>
        <v>0</v>
      </c>
      <c r="J5" s="54" t="s">
        <v>61</v>
      </c>
      <c r="L5" s="56" t="n">
        <f aca="false">$L$2/$P$19*P22</f>
        <v>0</v>
      </c>
      <c r="T5" s="57"/>
      <c r="U5" s="54" t="n">
        <v>377</v>
      </c>
    </row>
    <row r="6" customFormat="false" ht="14.25" hidden="false" customHeight="true" outlineLevel="0" collapsed="false">
      <c r="A6" s="1" t="s">
        <v>62</v>
      </c>
      <c r="B6" s="56" t="n">
        <f aca="false">$B$2/$T$2*T6</f>
        <v>0</v>
      </c>
      <c r="C6" s="56" t="n">
        <f aca="false">$C$2/I$19*I$23</f>
        <v>0</v>
      </c>
      <c r="D6" s="56" t="n">
        <f aca="false">D$2/J$19*J$23</f>
        <v>0</v>
      </c>
      <c r="E6" s="56" t="n">
        <f aca="false">$E$2/$U$2*U6</f>
        <v>0</v>
      </c>
      <c r="F6" s="56"/>
      <c r="G6" s="56" t="n">
        <f aca="false">G$2/L$19*L$23</f>
        <v>0</v>
      </c>
      <c r="H6" s="56" t="n">
        <f aca="false">G6+B6</f>
        <v>0</v>
      </c>
      <c r="I6" s="54" t="n">
        <f aca="false">0.1*I2</f>
        <v>0</v>
      </c>
      <c r="J6" s="54" t="s">
        <v>63</v>
      </c>
      <c r="K6" s="56" t="n">
        <f aca="false">$K$2/$O$19*O23</f>
        <v>0</v>
      </c>
      <c r="L6" s="56" t="n">
        <f aca="false">$L$2/$P$19*P23</f>
        <v>0</v>
      </c>
      <c r="T6" s="54" t="n">
        <v>3183</v>
      </c>
      <c r="U6" s="54" t="n">
        <v>2134</v>
      </c>
    </row>
    <row r="7" customFormat="false" ht="14.25" hidden="false" customHeight="true" outlineLevel="0" collapsed="false">
      <c r="A7" s="1" t="s">
        <v>6</v>
      </c>
      <c r="B7" s="56" t="n">
        <f aca="false">$B$2/$T$2*T7</f>
        <v>0</v>
      </c>
      <c r="C7" s="56" t="n">
        <f aca="false">$C$2/I$19*I$24</f>
        <v>0</v>
      </c>
      <c r="D7" s="56" t="n">
        <f aca="false">D$2/J$19*J$24</f>
        <v>0</v>
      </c>
      <c r="E7" s="56" t="n">
        <f aca="false">$E$2/$U$2*U7</f>
        <v>0</v>
      </c>
      <c r="F7" s="56"/>
      <c r="G7" s="56" t="n">
        <f aca="false">G$2/L$19*L$24</f>
        <v>0</v>
      </c>
      <c r="H7" s="56" t="n">
        <f aca="false">B7+G7-I7</f>
        <v>0</v>
      </c>
      <c r="I7" s="58" t="n">
        <f aca="false">ROUND(7*I2/650+0.007*I5,0)*2</f>
        <v>0</v>
      </c>
      <c r="J7" s="54" t="s">
        <v>6</v>
      </c>
      <c r="K7" s="56" t="n">
        <f aca="false">$K$2/$O$19*O24</f>
        <v>0</v>
      </c>
      <c r="L7" s="56" t="n">
        <f aca="false">$L$2/$P$19*P24</f>
        <v>0</v>
      </c>
      <c r="S7" s="59" t="n">
        <f aca="false">T7/T6</f>
        <v>0.560163367891926</v>
      </c>
      <c r="T7" s="54" t="n">
        <f aca="false">1751+32</f>
        <v>1783</v>
      </c>
      <c r="U7" s="54" t="n">
        <f aca="false">1405+2</f>
        <v>1407</v>
      </c>
      <c r="V7" s="59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64</v>
      </c>
      <c r="B8" s="56" t="n">
        <f aca="false">$B$2/$T$2*T8</f>
        <v>0</v>
      </c>
      <c r="C8" s="60" t="n">
        <f aca="false">$C$2/I$19*I25</f>
        <v>0</v>
      </c>
      <c r="D8" s="60" t="n">
        <f aca="false">D$2/J$19*J25</f>
        <v>0</v>
      </c>
      <c r="E8" s="56" t="n">
        <f aca="false">$E$2/$U$2*U8</f>
        <v>0</v>
      </c>
      <c r="F8" s="56"/>
      <c r="G8" s="60" t="n">
        <f aca="false">G$2/L$19*L25</f>
        <v>0</v>
      </c>
      <c r="H8" s="56" t="n">
        <f aca="false">G8+B8</f>
        <v>0</v>
      </c>
      <c r="I8" s="54"/>
      <c r="K8" s="60" t="n">
        <f aca="false">$K$2/$O$19*O25</f>
        <v>0</v>
      </c>
      <c r="L8" s="56" t="n">
        <f aca="false">$L$2/$P$19*P25</f>
        <v>0</v>
      </c>
      <c r="S8" s="61" t="n">
        <f aca="false">T8/T6</f>
        <v>0.0502670436694942</v>
      </c>
      <c r="T8" s="54" t="n">
        <v>160</v>
      </c>
      <c r="U8" s="54" t="n">
        <v>127</v>
      </c>
      <c r="V8" s="6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56" t="n">
        <f aca="false">$B$2/$T$2*T9</f>
        <v>0</v>
      </c>
      <c r="C9" s="60" t="n">
        <f aca="false">$C$2/I$19*I26</f>
        <v>0</v>
      </c>
      <c r="D9" s="60" t="n">
        <f aca="false">D$2/J$19*J26</f>
        <v>0</v>
      </c>
      <c r="E9" s="56" t="n">
        <f aca="false">$E$2/$U$2*U9</f>
        <v>0</v>
      </c>
      <c r="F9" s="56"/>
      <c r="G9" s="60" t="n">
        <f aca="false">G$2/L$19*L26</f>
        <v>0</v>
      </c>
      <c r="H9" s="56" t="n">
        <f aca="false">G9+B9</f>
        <v>0</v>
      </c>
      <c r="I9" s="54"/>
      <c r="K9" s="56" t="n">
        <f aca="false">$K$2/$O$19*O26</f>
        <v>0</v>
      </c>
      <c r="L9" s="56" t="n">
        <f aca="false">$L$2/$P$19*P26</f>
        <v>0</v>
      </c>
      <c r="T9" s="54" t="n">
        <f aca="false">16/1000*T6</f>
        <v>50.928</v>
      </c>
      <c r="U9" s="54" t="n">
        <f aca="false">16/1000*(U5+U6)</f>
        <v>40.176</v>
      </c>
    </row>
    <row r="10" customFormat="false" ht="14.25" hidden="false" customHeight="true" outlineLevel="0" collapsed="false">
      <c r="B10" s="56"/>
      <c r="C10" s="62" t="s">
        <v>63</v>
      </c>
      <c r="D10" s="56" t="n">
        <f aca="false">D$2/J$19*J27</f>
        <v>0</v>
      </c>
      <c r="E10" s="56"/>
      <c r="F10" s="56"/>
      <c r="G10" s="56" t="n">
        <f aca="false">G$2/L$19*L27</f>
        <v>0</v>
      </c>
      <c r="H10" s="1" t="s">
        <v>63</v>
      </c>
      <c r="I10" s="58"/>
      <c r="J10" s="1" t="s">
        <v>65</v>
      </c>
      <c r="K10" s="56" t="n">
        <f aca="false">$K$2/$O$19*O28</f>
        <v>0</v>
      </c>
      <c r="L10" s="56" t="n">
        <f aca="false">$L$2/$P$19*P27</f>
        <v>0</v>
      </c>
      <c r="M10" s="1" t="s">
        <v>63</v>
      </c>
      <c r="T10" s="57"/>
      <c r="U10" s="57"/>
    </row>
    <row r="11" customFormat="false" ht="14.25" hidden="false" customHeight="true" outlineLevel="0" collapsed="false">
      <c r="A11" s="1" t="s">
        <v>66</v>
      </c>
      <c r="B11" s="63" t="e">
        <f aca="false">(B7)/(B5+B6)</f>
        <v>#DIV/0!</v>
      </c>
      <c r="D11" s="62" t="s">
        <v>10</v>
      </c>
      <c r="E11" s="56"/>
      <c r="F11" s="56"/>
      <c r="I11" s="54" t="e">
        <f aca="false">(B7+B8/2+I7)/(B5+B6+B8/2)</f>
        <v>#DIV/0!</v>
      </c>
      <c r="J11" s="1" t="s">
        <v>11</v>
      </c>
      <c r="K11" s="56" t="n">
        <f aca="false">$K$2/$O$19*O30</f>
        <v>0</v>
      </c>
      <c r="T11" s="57"/>
      <c r="U11" s="57"/>
      <c r="W11" s="0" t="n">
        <f aca="false">48/3183*1000</f>
        <v>15.0801131008483</v>
      </c>
    </row>
    <row r="12" customFormat="false" ht="14.25" hidden="false" customHeight="true" outlineLevel="0" collapsed="false">
      <c r="D12" s="62" t="s">
        <v>67</v>
      </c>
      <c r="E12" s="56"/>
      <c r="F12" s="56"/>
      <c r="I12" s="54"/>
      <c r="J12" s="1" t="s">
        <v>12</v>
      </c>
      <c r="K12" s="56" t="n">
        <f aca="false">$K$2/$O$19*O31</f>
        <v>0</v>
      </c>
      <c r="T12" s="57"/>
      <c r="U12" s="57"/>
    </row>
    <row r="13" customFormat="false" ht="14.25" hidden="false" customHeight="true" outlineLevel="0" collapsed="false">
      <c r="D13" s="62" t="s">
        <v>11</v>
      </c>
      <c r="E13" s="56"/>
      <c r="F13" s="56"/>
      <c r="I13" s="54"/>
      <c r="T13" s="57"/>
      <c r="U13" s="57"/>
    </row>
    <row r="14" customFormat="false" ht="14.25" hidden="false" customHeight="true" outlineLevel="0" collapsed="false">
      <c r="D14" s="62" t="s">
        <v>68</v>
      </c>
      <c r="E14" s="56"/>
      <c r="F14" s="56"/>
      <c r="I14" s="54"/>
      <c r="T14" s="57"/>
      <c r="U14" s="57"/>
    </row>
    <row r="15" customFormat="false" ht="14.25" hidden="false" customHeight="true" outlineLevel="0" collapsed="false">
      <c r="A15" s="1" t="s">
        <v>69</v>
      </c>
      <c r="B15" s="56" t="n">
        <f aca="false">SUM(B5:B9)</f>
        <v>0</v>
      </c>
      <c r="C15" s="56" t="n">
        <f aca="false">SUM(C5:C14)</f>
        <v>0</v>
      </c>
      <c r="D15" s="56" t="n">
        <f aca="false">SUM(D5:D14)</f>
        <v>0</v>
      </c>
      <c r="E15" s="56" t="n">
        <f aca="false">SUM(E5:E14)</f>
        <v>0</v>
      </c>
      <c r="F15" s="56"/>
      <c r="G15" s="56" t="n">
        <f aca="false">SUM(G5:G14)</f>
        <v>0</v>
      </c>
      <c r="H15" s="64"/>
      <c r="I15" s="58" t="n">
        <f aca="false">SUM(I4:I7)</f>
        <v>0</v>
      </c>
      <c r="K15" s="56" t="n">
        <f aca="false">SUM(K5:K14)</f>
        <v>0</v>
      </c>
      <c r="L15" s="56" t="n">
        <f aca="false">SUM(L4:L14)</f>
        <v>0</v>
      </c>
      <c r="M15" s="65" t="s">
        <v>70</v>
      </c>
      <c r="T15" s="54" t="n">
        <f aca="false">SUM(T6:T11)</f>
        <v>5176.928</v>
      </c>
      <c r="U15" s="54" t="n">
        <f aca="false">SUM(U4:U11)</f>
        <v>4085.176</v>
      </c>
    </row>
    <row r="16" customFormat="false" ht="14.25" hidden="false" customHeight="true" outlineLevel="0" collapsed="false">
      <c r="A16" s="1" t="s">
        <v>71</v>
      </c>
      <c r="B16" s="56" t="n">
        <f aca="false">B6*0.5</f>
        <v>0</v>
      </c>
      <c r="H16" s="56" t="n">
        <f aca="false">H6*0.5</f>
        <v>0</v>
      </c>
    </row>
    <row r="17" customFormat="false" ht="14.25" hidden="false" customHeight="true" outlineLevel="0" collapsed="false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Format="false" ht="14.25" hidden="false" customHeight="true" outlineLevel="0" collapsed="false">
      <c r="A18" s="1" t="s">
        <v>72</v>
      </c>
      <c r="C18" s="1" t="s">
        <v>73</v>
      </c>
      <c r="D18" s="66" t="s">
        <v>74</v>
      </c>
      <c r="E18" s="1" t="s">
        <v>75</v>
      </c>
      <c r="G18" s="1" t="s">
        <v>76</v>
      </c>
      <c r="H18" s="1" t="s">
        <v>77</v>
      </c>
      <c r="I18" s="54" t="s">
        <v>78</v>
      </c>
      <c r="J18" s="66" t="s">
        <v>79</v>
      </c>
      <c r="K18" s="1" t="s">
        <v>80</v>
      </c>
      <c r="L18" s="66" t="s">
        <v>81</v>
      </c>
      <c r="M18" s="1" t="s">
        <v>82</v>
      </c>
      <c r="N18" s="1" t="s">
        <v>83</v>
      </c>
      <c r="O18" s="54" t="s">
        <v>56</v>
      </c>
      <c r="P18" s="1" t="s">
        <v>84</v>
      </c>
      <c r="S18" s="1" t="s">
        <v>85</v>
      </c>
      <c r="V18" s="1" t="s">
        <v>86</v>
      </c>
    </row>
    <row r="19" customFormat="false" ht="14.25" hidden="false" customHeight="true" outlineLevel="0" collapsed="false">
      <c r="A19" s="1" t="s">
        <v>87</v>
      </c>
      <c r="B19" s="1" t="n">
        <v>2090</v>
      </c>
      <c r="C19" s="56" t="n">
        <f aca="false">2090+238</f>
        <v>2328</v>
      </c>
      <c r="D19" s="66" t="n">
        <v>7450</v>
      </c>
      <c r="E19" s="56" t="n">
        <f aca="false">1000/0.64</f>
        <v>1562.5</v>
      </c>
      <c r="F19" s="56"/>
      <c r="G19" s="56" t="n">
        <f aca="false">1000/0.64</f>
        <v>1562.5</v>
      </c>
      <c r="H19" s="56" t="n">
        <f aca="false">1000/0.64</f>
        <v>1562.5</v>
      </c>
      <c r="I19" s="54" t="n">
        <f aca="false">1896*1.02</f>
        <v>1933.92</v>
      </c>
      <c r="J19" s="67" t="n">
        <v>2090</v>
      </c>
      <c r="K19" s="56" t="n">
        <v>1700</v>
      </c>
      <c r="L19" s="67" t="n">
        <f aca="false">2090+238+40</f>
        <v>2368</v>
      </c>
      <c r="M19" s="56" t="n">
        <v>1533</v>
      </c>
      <c r="N19" s="1" t="n">
        <f aca="false">15*250</f>
        <v>3750</v>
      </c>
      <c r="O19" s="58" t="n">
        <f aca="false">960*1.03+30</f>
        <v>1018.8</v>
      </c>
      <c r="P19" s="1" t="n">
        <v>760</v>
      </c>
      <c r="S19" s="1" t="s">
        <v>88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89</v>
      </c>
      <c r="B20" s="56" t="n">
        <f aca="false">$B$19/$C$19*C20</f>
        <v>1194.02920962199</v>
      </c>
      <c r="C20" s="56" t="n">
        <v>1330</v>
      </c>
      <c r="D20" s="67" t="n">
        <f aca="false">D22+D23</f>
        <v>4930.8</v>
      </c>
      <c r="E20" s="56" t="n">
        <f aca="false">E22+E23</f>
        <v>1000</v>
      </c>
      <c r="F20" s="56"/>
      <c r="G20" s="56" t="n">
        <f aca="false">G22+G23</f>
        <v>1000</v>
      </c>
      <c r="H20" s="56" t="n">
        <f aca="false">H22+H23</f>
        <v>1000</v>
      </c>
      <c r="I20" s="58" t="n">
        <f aca="false">I22+I23</f>
        <v>1335</v>
      </c>
      <c r="J20" s="67" t="n">
        <v>1260</v>
      </c>
      <c r="K20" s="56" t="n">
        <v>1260</v>
      </c>
      <c r="L20" s="67" t="n">
        <v>1330</v>
      </c>
      <c r="M20" s="56" t="n">
        <v>1000</v>
      </c>
      <c r="N20" s="1" t="n">
        <v>2400</v>
      </c>
      <c r="O20" s="54" t="n">
        <f aca="false">O23</f>
        <v>699.3</v>
      </c>
      <c r="P20" s="1" t="n">
        <f aca="false">SUM(P21:P23)</f>
        <v>363</v>
      </c>
      <c r="S20" s="1" t="s">
        <v>90</v>
      </c>
      <c r="T20" s="1" t="n">
        <v>1000</v>
      </c>
    </row>
    <row r="21" customFormat="false" ht="14.25" hidden="false" customHeight="true" outlineLevel="0" collapsed="false">
      <c r="A21" s="1" t="s">
        <v>91</v>
      </c>
      <c r="B21" s="56"/>
      <c r="C21" s="56"/>
      <c r="D21" s="67"/>
      <c r="E21" s="56"/>
      <c r="F21" s="56"/>
      <c r="G21" s="56"/>
      <c r="H21" s="56"/>
      <c r="I21" s="58"/>
      <c r="J21" s="68"/>
      <c r="K21" s="69"/>
      <c r="L21" s="68"/>
      <c r="M21" s="56"/>
      <c r="N21" s="56"/>
      <c r="O21" s="54"/>
      <c r="P21" s="1" t="n">
        <v>110</v>
      </c>
      <c r="Q21" s="1" t="s">
        <v>91</v>
      </c>
      <c r="S21" s="1" t="s">
        <v>92</v>
      </c>
      <c r="T21" s="1" t="n">
        <v>3</v>
      </c>
      <c r="W21" s="1"/>
    </row>
    <row r="22" customFormat="false" ht="14.25" hidden="false" customHeight="true" outlineLevel="0" collapsed="false">
      <c r="A22" s="1" t="s">
        <v>60</v>
      </c>
      <c r="B22" s="56" t="n">
        <f aca="false">$B$19/$C$19*C22</f>
        <v>42.1950171821306</v>
      </c>
      <c r="C22" s="56" t="n">
        <v>47</v>
      </c>
      <c r="D22" s="67" t="n">
        <f aca="false">167+22</f>
        <v>189</v>
      </c>
      <c r="E22" s="56" t="n">
        <v>20</v>
      </c>
      <c r="F22" s="56"/>
      <c r="G22" s="56" t="n">
        <v>20</v>
      </c>
      <c r="H22" s="56" t="n">
        <v>20</v>
      </c>
      <c r="I22" s="58"/>
      <c r="J22" s="67"/>
      <c r="K22" s="56" t="n">
        <v>184</v>
      </c>
      <c r="L22" s="67" t="n">
        <v>47</v>
      </c>
      <c r="M22" s="56"/>
      <c r="N22" s="56"/>
      <c r="O22" s="54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62</v>
      </c>
      <c r="B23" s="56" t="n">
        <f aca="false">$B$19/$C$19*C23</f>
        <v>1150.93642611684</v>
      </c>
      <c r="C23" s="56" t="n">
        <v>1282</v>
      </c>
      <c r="D23" s="67" t="n">
        <f aca="false">4516*1.05</f>
        <v>4741.8</v>
      </c>
      <c r="E23" s="56" t="n">
        <v>980</v>
      </c>
      <c r="F23" s="56"/>
      <c r="G23" s="56" t="n">
        <v>980</v>
      </c>
      <c r="H23" s="56" t="n">
        <v>980</v>
      </c>
      <c r="I23" s="58" t="n">
        <v>1335</v>
      </c>
      <c r="J23" s="67" t="n">
        <v>1260</v>
      </c>
      <c r="K23" s="56" t="n">
        <v>1077</v>
      </c>
      <c r="L23" s="67" t="n">
        <v>1282</v>
      </c>
      <c r="M23" s="56" t="n">
        <v>1000</v>
      </c>
      <c r="N23" s="1" t="n">
        <v>2400</v>
      </c>
      <c r="O23" s="54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6" t="n">
        <f aca="false">$B$19/$C$19*C24</f>
        <v>861.855670103093</v>
      </c>
      <c r="C24" s="56" t="n">
        <f aca="false">863+97</f>
        <v>960</v>
      </c>
      <c r="D24" s="67" t="n">
        <f aca="false">3040</f>
        <v>3040</v>
      </c>
      <c r="E24" s="56" t="n">
        <v>573</v>
      </c>
      <c r="F24" s="56"/>
      <c r="G24" s="56" t="n">
        <v>650</v>
      </c>
      <c r="H24" s="56" t="n">
        <v>610</v>
      </c>
      <c r="I24" s="70" t="n">
        <f aca="false">865*1.05*1.02</f>
        <v>926.415</v>
      </c>
      <c r="J24" s="67" t="n">
        <f aca="false">817*1+3*25</f>
        <v>892</v>
      </c>
      <c r="K24" s="56" t="n">
        <f aca="false">817*1</f>
        <v>817</v>
      </c>
      <c r="L24" s="67" t="n">
        <v>960</v>
      </c>
      <c r="M24" s="56" t="n">
        <v>520</v>
      </c>
      <c r="N24" s="1" t="n">
        <f aca="false">440*3</f>
        <v>1320</v>
      </c>
      <c r="O24" s="58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0" t="n">
        <f aca="false">$B$19/$C$19*C25</f>
        <v>267.534364261168</v>
      </c>
      <c r="C25" s="56" t="n">
        <v>298</v>
      </c>
      <c r="D25" s="67" t="n">
        <v>1050</v>
      </c>
      <c r="E25" s="56" t="n">
        <v>260</v>
      </c>
      <c r="F25" s="56"/>
      <c r="G25" s="56" t="n">
        <v>260</v>
      </c>
      <c r="H25" s="56" t="n">
        <v>260</v>
      </c>
      <c r="I25" s="58" t="n">
        <v>53</v>
      </c>
      <c r="J25" s="71" t="n">
        <v>10</v>
      </c>
      <c r="K25" s="60" t="n">
        <v>10</v>
      </c>
      <c r="L25" s="71" t="n">
        <v>298</v>
      </c>
      <c r="M25" s="60" t="n">
        <v>12</v>
      </c>
      <c r="N25" s="1" t="n">
        <v>30</v>
      </c>
      <c r="O25" s="70" t="n">
        <f aca="false">O23/1000*5</f>
        <v>3.4965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56" t="n">
        <f aca="false">$B$19/$C$19*C26</f>
        <v>21.4566151202749</v>
      </c>
      <c r="C26" s="56" t="n">
        <v>23.9</v>
      </c>
      <c r="D26" s="67" t="n">
        <v>84</v>
      </c>
      <c r="E26" s="56" t="n">
        <v>18.25</v>
      </c>
      <c r="F26" s="56"/>
      <c r="G26" s="56" t="n">
        <v>18.25</v>
      </c>
      <c r="H26" s="56" t="n">
        <v>18.25</v>
      </c>
      <c r="I26" s="58" t="n">
        <f aca="false">(I23+I22)/1000*14</f>
        <v>18.69</v>
      </c>
      <c r="J26" s="71" t="n">
        <f aca="false">(J23+J22)/1000*14</f>
        <v>17.64</v>
      </c>
      <c r="K26" s="60" t="n">
        <f aca="false">(K23+K22)/1000*14</f>
        <v>17.654</v>
      </c>
      <c r="L26" s="71" t="n">
        <v>23.9</v>
      </c>
      <c r="M26" s="56" t="n">
        <v>18</v>
      </c>
      <c r="N26" s="1" t="n">
        <v>36</v>
      </c>
      <c r="O26" s="54" t="n">
        <v>12</v>
      </c>
      <c r="P26" s="1" t="n">
        <v>6</v>
      </c>
      <c r="S26" s="72"/>
      <c r="T26" s="72"/>
      <c r="U26" s="72"/>
    </row>
    <row r="27" customFormat="false" ht="14.25" hidden="false" customHeight="true" outlineLevel="0" collapsed="false">
      <c r="A27" s="1" t="s">
        <v>63</v>
      </c>
      <c r="B27" s="56" t="n">
        <f aca="false">$B$19/$C$19*C27</f>
        <v>213.668384879725</v>
      </c>
      <c r="C27" s="1" t="n">
        <v>238</v>
      </c>
      <c r="D27" s="66"/>
      <c r="I27" s="54"/>
      <c r="J27" s="66" t="n">
        <v>238</v>
      </c>
      <c r="L27" s="66" t="n">
        <v>238</v>
      </c>
      <c r="O27" s="54"/>
      <c r="P27" s="1" t="n">
        <f aca="false">90*1.25</f>
        <v>112.5</v>
      </c>
      <c r="S27" s="72"/>
      <c r="T27" s="72"/>
      <c r="U27" s="72"/>
    </row>
    <row r="28" customFormat="false" ht="14.25" hidden="false" customHeight="true" outlineLevel="0" collapsed="false">
      <c r="A28" s="1" t="s">
        <v>10</v>
      </c>
      <c r="B28" s="56"/>
      <c r="D28" s="66"/>
      <c r="I28" s="54"/>
      <c r="J28" s="66"/>
      <c r="L28" s="66"/>
      <c r="M28" s="1" t="n">
        <v>50</v>
      </c>
      <c r="O28" s="54" t="n">
        <f aca="false">43*1.2</f>
        <v>51.6</v>
      </c>
      <c r="S28" s="72"/>
      <c r="T28" s="72"/>
      <c r="U28" s="72"/>
    </row>
    <row r="29" customFormat="false" ht="14.25" hidden="false" customHeight="true" outlineLevel="0" collapsed="false">
      <c r="A29" s="1" t="s">
        <v>67</v>
      </c>
      <c r="B29" s="56"/>
      <c r="D29" s="66"/>
      <c r="I29" s="54"/>
      <c r="J29" s="66"/>
      <c r="L29" s="66"/>
      <c r="M29" s="1" t="n">
        <v>40</v>
      </c>
      <c r="O29" s="54"/>
      <c r="S29" s="72"/>
      <c r="T29" s="72"/>
      <c r="U29" s="72"/>
    </row>
    <row r="30" customFormat="false" ht="14.25" hidden="false" customHeight="true" outlineLevel="0" collapsed="false">
      <c r="A30" s="1" t="s">
        <v>11</v>
      </c>
      <c r="B30" s="56"/>
      <c r="D30" s="66"/>
      <c r="I30" s="54"/>
      <c r="J30" s="66"/>
      <c r="L30" s="66"/>
      <c r="M30" s="1" t="n">
        <v>30</v>
      </c>
      <c r="N30" s="1" t="n">
        <v>77</v>
      </c>
      <c r="O30" s="54" t="n">
        <v>43</v>
      </c>
      <c r="S30" s="72"/>
      <c r="T30" s="72"/>
      <c r="U30" s="72"/>
    </row>
    <row r="31" customFormat="false" ht="14.25" hidden="false" customHeight="true" outlineLevel="0" collapsed="false">
      <c r="A31" s="1" t="s">
        <v>93</v>
      </c>
      <c r="B31" s="56"/>
      <c r="D31" s="66"/>
      <c r="I31" s="54"/>
      <c r="J31" s="66"/>
      <c r="L31" s="66"/>
      <c r="M31" s="1" t="n">
        <v>50</v>
      </c>
      <c r="O31" s="58" t="n">
        <v>190</v>
      </c>
      <c r="S31" s="72"/>
      <c r="T31" s="72"/>
      <c r="U31" s="72"/>
    </row>
    <row r="32" customFormat="false" ht="14.25" hidden="false" customHeight="true" outlineLevel="0" collapsed="false">
      <c r="A32" s="1" t="s">
        <v>94</v>
      </c>
      <c r="B32" s="56" t="n">
        <f aca="false">C32/$C$19*$B$19</f>
        <v>2557.64647766323</v>
      </c>
      <c r="C32" s="56" t="n">
        <f aca="false">SUM(C22:C27)</f>
        <v>2848.9</v>
      </c>
      <c r="D32" s="67" t="n">
        <f aca="false">SUM(D22:D26)</f>
        <v>9104.8</v>
      </c>
      <c r="E32" s="56" t="n">
        <f aca="false">SUM(E22:E26)</f>
        <v>1851.25</v>
      </c>
      <c r="F32" s="56"/>
      <c r="G32" s="56" t="n">
        <f aca="false">SUM(G22:G26)</f>
        <v>1928.25</v>
      </c>
      <c r="H32" s="56" t="n">
        <f aca="false">SUM(H22:H26)</f>
        <v>1888.25</v>
      </c>
      <c r="I32" s="58" t="n">
        <f aca="false">SUM(I22:I26)</f>
        <v>2333.105</v>
      </c>
      <c r="J32" s="67" t="n">
        <f aca="false">SUM(J22:J27)</f>
        <v>2417.64</v>
      </c>
      <c r="K32" s="56" t="n">
        <f aca="false">SUM(K22:K26)</f>
        <v>2105.654</v>
      </c>
      <c r="L32" s="67" t="n">
        <f aca="false">SUM(L22:L27)</f>
        <v>2848.9</v>
      </c>
      <c r="M32" s="56" t="n">
        <f aca="false">SUM(M22:M31)</f>
        <v>1720</v>
      </c>
      <c r="N32" s="56"/>
      <c r="O32" s="54"/>
      <c r="U32" s="1"/>
      <c r="V32" s="72"/>
    </row>
    <row r="33" customFormat="false" ht="14.25" hidden="false" customHeight="true" outlineLevel="0" collapsed="false">
      <c r="A33" s="1" t="s">
        <v>95</v>
      </c>
      <c r="B33" s="63" t="n">
        <f aca="false">(0.5*B25+B24)/(B20+B25*0.5)</f>
        <v>0.749830966869507</v>
      </c>
      <c r="C33" s="63" t="n">
        <f aca="false">(0.5*C25+C24)/(C20+C25*0.5)</f>
        <v>0.749830966869507</v>
      </c>
      <c r="D33" s="64" t="n">
        <f aca="false">(0.5*D25+D24)/(D20+D25*0.5)</f>
        <v>0.653433043733275</v>
      </c>
      <c r="E33" s="73" t="n">
        <f aca="false">(0.5*E25+E24)/(E20+E25*0.5)</f>
        <v>0.62212389380531</v>
      </c>
      <c r="F33" s="73"/>
      <c r="G33" s="73" t="n">
        <f aca="false">(0.5*G25+G24)/(G20+G25*0.5)</f>
        <v>0.690265486725664</v>
      </c>
      <c r="H33" s="73" t="n">
        <f aca="false">(0.5*H25+H24)/(H20+H25*0.5)</f>
        <v>0.654867256637168</v>
      </c>
      <c r="I33" s="74" t="n">
        <f aca="false">(0.5*I25+I24)/(I20+I25*0.5)</f>
        <v>0.699900844656629</v>
      </c>
      <c r="J33" s="75" t="n">
        <f aca="false">(0.5*J25+J24)/(J20+J25*0.5)</f>
        <v>0.709090909090909</v>
      </c>
      <c r="K33" s="63" t="n">
        <f aca="false">(0.5*K25+K24)/(K20+K25*0.5)</f>
        <v>0.649802371541502</v>
      </c>
      <c r="L33" s="64" t="n">
        <f aca="false">(0.5*L25+L24)/(L20+L25*0.5)</f>
        <v>0.749830966869507</v>
      </c>
      <c r="M33" s="73"/>
      <c r="N33" s="73"/>
      <c r="O33" s="54"/>
      <c r="P33" s="50" t="n">
        <f aca="false">(0.5*P25+P24)/(P20+P25*0.5)</f>
        <v>0.917695473251029</v>
      </c>
      <c r="T33" s="1"/>
      <c r="V33" s="72"/>
    </row>
    <row r="34" customFormat="false" ht="14.25" hidden="false" customHeight="true" outlineLevel="0" collapsed="false">
      <c r="A34" s="1" t="s">
        <v>96</v>
      </c>
      <c r="B34" s="73" t="n">
        <f aca="false">(B25/2+B22)/B20</f>
        <v>0.147368421052632</v>
      </c>
      <c r="C34" s="63" t="n">
        <f aca="false">(C25/2+C22)/C20</f>
        <v>0.147368421052632</v>
      </c>
      <c r="D34" s="75" t="n">
        <f aca="false">(D25/2+D22)/D20</f>
        <v>0.144804088586031</v>
      </c>
      <c r="E34" s="73" t="n">
        <f aca="false">(E25/2+E22)/E20</f>
        <v>0.15</v>
      </c>
      <c r="F34" s="73"/>
      <c r="G34" s="73" t="n">
        <f aca="false">(G25/2+G22)/G20</f>
        <v>0.15</v>
      </c>
      <c r="H34" s="73" t="n">
        <f aca="false">(H25/2+H22)/H20</f>
        <v>0.15</v>
      </c>
      <c r="I34" s="76" t="n">
        <f aca="false">(I25/2+I22)/I20</f>
        <v>0.0198501872659176</v>
      </c>
      <c r="J34" s="75" t="n">
        <f aca="false">(J25/2+J22)/J20</f>
        <v>0.00396825396825397</v>
      </c>
      <c r="K34" s="63" t="n">
        <f aca="false">(K25/2+K22)/K20</f>
        <v>0.15</v>
      </c>
      <c r="L34" s="75" t="n">
        <f aca="false">(L25/2+L22)/L20</f>
        <v>0.147368421052632</v>
      </c>
      <c r="M34" s="63"/>
      <c r="N34" s="63"/>
      <c r="O34" s="54"/>
      <c r="V34" s="72"/>
    </row>
    <row r="35" customFormat="false" ht="14.25" hidden="false" customHeight="true" outlineLevel="0" collapsed="false">
      <c r="A35" s="1" t="s">
        <v>97</v>
      </c>
      <c r="B35" s="73" t="n">
        <f aca="false">B25/B20</f>
        <v>0.22406015037594</v>
      </c>
      <c r="C35" s="73" t="n">
        <f aca="false">C25/C20</f>
        <v>0.22406015037594</v>
      </c>
      <c r="D35" s="77" t="n">
        <f aca="false">D25/D20</f>
        <v>0.212947189097104</v>
      </c>
      <c r="E35" s="73" t="n">
        <f aca="false">E25/E20</f>
        <v>0.26</v>
      </c>
      <c r="F35" s="73"/>
      <c r="G35" s="73" t="n">
        <f aca="false">G25/G20</f>
        <v>0.26</v>
      </c>
      <c r="H35" s="73" t="n">
        <f aca="false">H25/H20</f>
        <v>0.26</v>
      </c>
      <c r="I35" s="78" t="n">
        <f aca="false">I25/I20</f>
        <v>0.0397003745318352</v>
      </c>
      <c r="J35" s="75" t="n">
        <f aca="false">J25/J20</f>
        <v>0.00793650793650794</v>
      </c>
      <c r="K35" s="63" t="n">
        <f aca="false">K25/K20</f>
        <v>0.00793650793650794</v>
      </c>
      <c r="L35" s="75" t="n">
        <f aca="false">L25/L20</f>
        <v>0.22406015037594</v>
      </c>
      <c r="M35" s="73"/>
      <c r="N35" s="73"/>
      <c r="O35" s="54"/>
      <c r="V35" s="72"/>
    </row>
    <row r="36" customFormat="false" ht="14.25" hidden="false" customHeight="true" outlineLevel="0" collapsed="false">
      <c r="C36" s="63"/>
      <c r="D36" s="63"/>
    </row>
    <row r="37" customFormat="false" ht="14.25" hidden="false" customHeight="true" outlineLevel="0" collapsed="false">
      <c r="C37" s="73"/>
      <c r="D37" s="7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98</v>
      </c>
      <c r="G39" s="1" t="s">
        <v>99</v>
      </c>
    </row>
    <row r="40" customFormat="false" ht="13.5" hidden="false" customHeight="true" outlineLevel="0" collapsed="false">
      <c r="B40" s="1" t="s">
        <v>100</v>
      </c>
      <c r="C40" s="1" t="n">
        <v>500</v>
      </c>
      <c r="D40" s="63" t="n">
        <v>0.18</v>
      </c>
      <c r="E40" s="1" t="n">
        <v>5</v>
      </c>
      <c r="F40" s="1" t="n">
        <f aca="false">E40*D40</f>
        <v>0.9</v>
      </c>
      <c r="G40" s="56" t="n">
        <f aca="false">D40*$G$45</f>
        <v>495</v>
      </c>
      <c r="H40" s="56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101</v>
      </c>
      <c r="C41" s="1" t="n">
        <v>375</v>
      </c>
      <c r="D41" s="63" t="n">
        <v>0.075</v>
      </c>
      <c r="E41" s="1" t="n">
        <f aca="false">5</f>
        <v>5</v>
      </c>
      <c r="F41" s="1" t="n">
        <f aca="false">E41*D41</f>
        <v>0.375</v>
      </c>
      <c r="G41" s="56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102</v>
      </c>
      <c r="C42" s="1" t="n">
        <v>375</v>
      </c>
      <c r="D42" s="63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6" t="n">
        <f aca="false">D42*$G$45</f>
        <v>206.25</v>
      </c>
    </row>
    <row r="43" customFormat="false" ht="13.5" hidden="false" customHeight="true" outlineLevel="0" collapsed="false">
      <c r="B43" s="1" t="s">
        <v>103</v>
      </c>
      <c r="C43" s="1" t="n">
        <v>750</v>
      </c>
      <c r="D43" s="63" t="n">
        <v>0.3</v>
      </c>
      <c r="E43" s="1" t="n">
        <f aca="false">65/5</f>
        <v>13</v>
      </c>
      <c r="F43" s="1" t="n">
        <f aca="false">E43*D43</f>
        <v>3.9</v>
      </c>
      <c r="G43" s="56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3" t="n">
        <v>0.37</v>
      </c>
      <c r="E44" s="1" t="n">
        <v>7</v>
      </c>
      <c r="F44" s="1" t="n">
        <f aca="false">E44*D44</f>
        <v>2.59</v>
      </c>
      <c r="G44" s="56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52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91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9" width="8.45"/>
    <col collapsed="false" customWidth="true" hidden="false" outlineLevel="0" max="2" min="2" style="79" width="20.22"/>
    <col collapsed="false" customWidth="true" hidden="false" outlineLevel="0" max="3" min="3" style="79" width="2.47"/>
    <col collapsed="false" customWidth="true" hidden="false" outlineLevel="0" max="4" min="4" style="79" width="22.58"/>
    <col collapsed="false" customWidth="false" hidden="false" outlineLevel="0" max="5" min="5" style="79" width="8.59"/>
    <col collapsed="false" customWidth="true" hidden="false" outlineLevel="0" max="6" min="6" style="79" width="6"/>
    <col collapsed="false" customWidth="false" hidden="false" outlineLevel="0" max="7" min="7" style="79" width="8.59"/>
    <col collapsed="false" customWidth="true" hidden="false" outlineLevel="0" max="8" min="8" style="79" width="12.42"/>
    <col collapsed="false" customWidth="false" hidden="false" outlineLevel="0" max="9" min="9" style="79" width="8.59"/>
    <col collapsed="false" customWidth="true" hidden="false" outlineLevel="0" max="10" min="10" style="79" width="5.18"/>
  </cols>
  <sheetData>
    <row r="2" customFormat="false" ht="15.6" hidden="false" customHeight="true" outlineLevel="0" collapsed="false">
      <c r="A2" s="80"/>
      <c r="B2" s="80"/>
      <c r="C2" s="80"/>
      <c r="D2" s="80"/>
      <c r="E2" s="80"/>
      <c r="F2" s="80"/>
      <c r="G2" s="80"/>
      <c r="H2" s="80"/>
      <c r="I2" s="80"/>
      <c r="J2" s="80"/>
    </row>
    <row r="3" customFormat="false" ht="15.6" hidden="false" customHeight="true" outlineLevel="0" collapsed="false">
      <c r="A3" s="80"/>
      <c r="B3" s="80"/>
      <c r="J3" s="80"/>
    </row>
    <row r="4" customFormat="false" ht="15.6" hidden="false" customHeight="true" outlineLevel="0" collapsed="false">
      <c r="A4" s="80"/>
      <c r="B4" s="80"/>
      <c r="C4" s="80"/>
      <c r="D4" s="80"/>
      <c r="E4" s="80"/>
      <c r="F4" s="80"/>
      <c r="G4" s="80"/>
      <c r="H4" s="80"/>
      <c r="I4" s="80"/>
      <c r="J4" s="80"/>
    </row>
    <row r="5" customFormat="false" ht="15.6" hidden="false" customHeight="true" outlineLevel="0" collapsed="false">
      <c r="A5" s="80"/>
      <c r="B5" s="80"/>
      <c r="C5" s="80"/>
      <c r="D5" s="80"/>
      <c r="E5" s="80"/>
      <c r="F5" s="80"/>
      <c r="G5" s="80"/>
      <c r="H5" s="80"/>
      <c r="I5" s="80"/>
      <c r="J5" s="80"/>
    </row>
    <row r="6" customFormat="false" ht="15.6" hidden="false" customHeight="true" outlineLevel="0" collapsed="false">
      <c r="A6" s="80"/>
      <c r="B6" s="80"/>
      <c r="J6" s="80"/>
    </row>
    <row r="7" customFormat="false" ht="15.6" hidden="false" customHeight="true" outlineLevel="0" collapsed="false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Format="false" ht="15.6" hidden="false" customHeight="true" outlineLevel="0" collapsed="false">
      <c r="A8" s="80"/>
      <c r="B8" s="80"/>
      <c r="J8" s="80"/>
    </row>
    <row r="9" customFormat="false" ht="15.6" hidden="false" customHeight="true" outlineLevel="0" collapsed="false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Format="false" ht="15.6" hidden="false" customHeight="true" outlineLevel="0" collapsed="false">
      <c r="A10" s="80"/>
      <c r="B10" s="80"/>
      <c r="J10" s="80"/>
    </row>
    <row r="11" customFormat="false" ht="15.6" hidden="false" customHeight="true" outlineLevel="0" collapsed="false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Format="false" ht="15.6" hidden="false" customHeight="true" outlineLevel="0" collapsed="false">
      <c r="A12" s="80"/>
      <c r="B12" s="80"/>
      <c r="J12" s="80"/>
    </row>
    <row r="13" customFormat="false" ht="15.6" hidden="false" customHeight="true" outlineLevel="0" collapsed="false">
      <c r="A13" s="80"/>
      <c r="B13" s="80"/>
      <c r="J13" s="80"/>
    </row>
    <row r="14" customFormat="false" ht="15.6" hidden="false" customHeight="true" outlineLevel="0" collapsed="false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Format="false" ht="15.6" hidden="false" customHeight="true" outlineLevel="0" collapsed="false">
      <c r="A15" s="80"/>
      <c r="B15" s="80"/>
      <c r="J15" s="80"/>
    </row>
    <row r="16" customFormat="false" ht="15.6" hidden="false" customHeight="true" outlineLevel="0" collapsed="false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Format="false" ht="15.6" hidden="false" customHeight="true" outlineLevel="0" collapsed="false">
      <c r="A17" s="80"/>
      <c r="B17" s="80"/>
      <c r="J17" s="80"/>
    </row>
    <row r="18" customFormat="false" ht="15.6" hidden="false" customHeight="true" outlineLevel="0" collapsed="false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customFormat="false" ht="15.6" hidden="false" customHeight="true" outlineLevel="0" collapsed="false">
      <c r="A19" s="80"/>
      <c r="B19" s="80"/>
      <c r="J19" s="80"/>
    </row>
    <row r="20" customFormat="false" ht="15.6" hidden="false" customHeight="true" outlineLevel="0" collapsed="false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customFormat="false" ht="15.6" hidden="false" customHeight="true" outlineLevel="0" collapsed="false">
      <c r="A21" s="80"/>
      <c r="B21" s="80"/>
      <c r="J21" s="80"/>
    </row>
    <row r="22" customFormat="false" ht="15.6" hidden="false" customHeight="true" outlineLevel="0" collapsed="false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customFormat="false" ht="15.6" hidden="false" customHeight="true" outlineLevel="0" collapsed="false">
      <c r="A23" s="80"/>
      <c r="B23" s="80"/>
      <c r="J23" s="80"/>
    </row>
    <row r="24" customFormat="false" ht="15.6" hidden="false" customHeight="true" outlineLevel="0" collapsed="false">
      <c r="A24" s="80"/>
      <c r="B24" s="80"/>
      <c r="J24" s="80"/>
    </row>
    <row r="25" customFormat="false" ht="15.6" hidden="false" customHeight="true" outlineLevel="0" collapsed="false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6" customFormat="false" ht="15.6" hidden="false" customHeight="true" outlineLevel="0" collapsed="false">
      <c r="A26" s="80"/>
      <c r="B26" s="80"/>
      <c r="J26" s="80"/>
    </row>
    <row r="27" customFormat="false" ht="15.6" hidden="false" customHeight="true" outlineLevel="0" collapsed="false">
      <c r="A27" s="80"/>
      <c r="B27" s="80"/>
      <c r="J27" s="80"/>
    </row>
    <row r="28" customFormat="false" ht="15.6" hidden="false" customHeight="true" outlineLevel="0" collapsed="false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customFormat="false" ht="15.6" hidden="false" customHeight="true" outlineLevel="0" collapsed="false">
      <c r="A29" s="80"/>
      <c r="B29" s="80"/>
      <c r="J29" s="80"/>
    </row>
    <row r="30" customFormat="false" ht="15.6" hidden="false" customHeight="true" outlineLevel="0" collapsed="false">
      <c r="A30" s="80"/>
      <c r="B30" s="80"/>
      <c r="J30" s="80"/>
    </row>
    <row r="31" customFormat="false" ht="15.6" hidden="false" customHeight="true" outlineLevel="0" collapsed="false">
      <c r="A31" s="80"/>
      <c r="B31" s="80"/>
      <c r="J31" s="80"/>
    </row>
    <row r="32" customFormat="false" ht="15.6" hidden="false" customHeight="true" outlineLevel="0" collapsed="false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customFormat="false" ht="15.6" hidden="false" customHeight="true" outlineLevel="0" collapsed="false">
      <c r="A33" s="80"/>
      <c r="B33" s="80"/>
      <c r="J33" s="80"/>
    </row>
    <row r="34" customFormat="false" ht="15.6" hidden="false" customHeight="true" outlineLevel="0" collapsed="false">
      <c r="A34" s="80"/>
      <c r="B34" s="80"/>
      <c r="J34" s="80"/>
    </row>
    <row r="35" customFormat="false" ht="15.6" hidden="false" customHeight="true" outlineLevel="0" collapsed="false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customFormat="false" ht="15.6" hidden="false" customHeight="true" outlineLevel="0" collapsed="false">
      <c r="A36" s="80"/>
      <c r="B36" s="80"/>
      <c r="J36" s="80"/>
    </row>
    <row r="37" customFormat="false" ht="15.6" hidden="false" customHeight="true" outlineLevel="0" collapsed="false">
      <c r="A37" s="80"/>
      <c r="B37" s="80"/>
      <c r="C37" s="80"/>
      <c r="D37" s="80"/>
      <c r="E37" s="80"/>
      <c r="F37" s="80"/>
      <c r="G37" s="80"/>
      <c r="H37" s="80"/>
      <c r="I37" s="80"/>
      <c r="J37" s="80"/>
    </row>
    <row r="38" customFormat="false" ht="15.6" hidden="false" customHeight="true" outlineLevel="0" collapsed="false">
      <c r="A38" s="80"/>
      <c r="B38" s="80"/>
      <c r="J38" s="80"/>
    </row>
    <row r="39" customFormat="false" ht="15.6" hidden="false" customHeight="true" outlineLevel="0" collapsed="false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customFormat="false" ht="15.6" hidden="false" customHeight="true" outlineLevel="0" collapsed="false">
      <c r="A40" s="80"/>
      <c r="B40" s="80"/>
      <c r="J40" s="80"/>
    </row>
    <row r="41" customFormat="false" ht="15.6" hidden="false" customHeight="true" outlineLevel="0" collapsed="false">
      <c r="A41" s="80"/>
      <c r="B41" s="80"/>
      <c r="J41" s="80"/>
    </row>
    <row r="42" customFormat="false" ht="15.6" hidden="false" customHeight="true" outlineLevel="0" collapsed="false">
      <c r="A42" s="80"/>
      <c r="B42" s="80"/>
      <c r="J42" s="80"/>
    </row>
    <row r="43" customFormat="false" ht="15.6" hidden="false" customHeight="true" outlineLevel="0" collapsed="false">
      <c r="A43" s="80"/>
      <c r="B43" s="80"/>
      <c r="J43" s="80"/>
    </row>
    <row r="44" customFormat="false" ht="15.6" hidden="false" customHeight="true" outlineLevel="0" collapsed="false">
      <c r="A44" s="80"/>
      <c r="B44" s="80"/>
      <c r="C44" s="80"/>
      <c r="D44" s="80"/>
      <c r="E44" s="80"/>
      <c r="F44" s="80"/>
      <c r="G44" s="80"/>
      <c r="H44" s="80"/>
      <c r="I44" s="80"/>
      <c r="J44" s="8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104</v>
      </c>
      <c r="G1" s="2" t="s">
        <v>85</v>
      </c>
      <c r="K1" s="2" t="s">
        <v>105</v>
      </c>
      <c r="O1" s="2" t="s">
        <v>106</v>
      </c>
      <c r="R1" s="2" t="s">
        <v>107</v>
      </c>
      <c r="S1" s="2" t="n">
        <v>0.2</v>
      </c>
      <c r="U1" s="2" t="s">
        <v>108</v>
      </c>
      <c r="V1" s="2" t="n">
        <v>1.8</v>
      </c>
    </row>
    <row r="2" customFormat="false" ht="17.35" hidden="false" customHeight="false" outlineLevel="0" collapsed="false">
      <c r="G2" s="2" t="s">
        <v>109</v>
      </c>
      <c r="Y2" s="2" t="s">
        <v>110</v>
      </c>
      <c r="AB2" s="2" t="s">
        <v>111</v>
      </c>
      <c r="AD2" s="2" t="s">
        <v>112</v>
      </c>
      <c r="AE2" s="1"/>
      <c r="AG2" s="2" t="s">
        <v>113</v>
      </c>
    </row>
    <row r="3" customFormat="false" ht="17.35" hidden="false" customHeight="false" outlineLevel="0" collapsed="false">
      <c r="D3" s="2" t="n">
        <v>6000</v>
      </c>
      <c r="G3" s="2" t="s">
        <v>114</v>
      </c>
      <c r="K3" s="2" t="s">
        <v>115</v>
      </c>
      <c r="O3" s="2" t="s">
        <v>116</v>
      </c>
      <c r="P3" s="2" t="s">
        <v>88</v>
      </c>
      <c r="Q3" s="2" t="s">
        <v>117</v>
      </c>
      <c r="R3" s="2" t="s">
        <v>118</v>
      </c>
      <c r="S3" s="2" t="s">
        <v>119</v>
      </c>
      <c r="T3" s="2" t="s">
        <v>120</v>
      </c>
      <c r="U3" s="2" t="s">
        <v>121</v>
      </c>
      <c r="V3" s="2" t="s">
        <v>122</v>
      </c>
    </row>
    <row r="4" customFormat="false" ht="17.35" hidden="false" customHeight="false" outlineLevel="0" collapsed="false">
      <c r="C4" s="2" t="s">
        <v>88</v>
      </c>
      <c r="D4" s="25" t="n">
        <v>4123.40425531915</v>
      </c>
      <c r="E4" s="81" t="n">
        <f aca="false">D4/1000*1.8</f>
        <v>7.42212765957447</v>
      </c>
      <c r="G4" s="2" t="s">
        <v>123</v>
      </c>
      <c r="K4" s="2" t="s">
        <v>124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2" t="n">
        <f aca="false">U4/T4</f>
        <v>0.80369400921659</v>
      </c>
      <c r="Y4" s="2" t="s">
        <v>125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5" t="n">
        <v>1052.23404255319</v>
      </c>
      <c r="E5" s="8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2" t="n">
        <f aca="false">U5/T5</f>
        <v>0.788593548387097</v>
      </c>
      <c r="Y5" s="2" t="s">
        <v>126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127</v>
      </c>
      <c r="D6" s="25" t="n">
        <v>4.12340425531915</v>
      </c>
      <c r="E6" s="81"/>
      <c r="G6" s="2" t="s">
        <v>88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2" t="n">
        <f aca="false">U6/T6</f>
        <v>0.779784946236559</v>
      </c>
      <c r="Y6" s="2" t="s">
        <v>128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25" t="n">
        <v>76.5957446808511</v>
      </c>
      <c r="E7" s="81" t="n">
        <f aca="false">D7/1000*3</f>
        <v>0.229787234042553</v>
      </c>
      <c r="G7" s="2" t="s">
        <v>90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2" t="n">
        <f aca="false">U7/T7</f>
        <v>0.752258064516129</v>
      </c>
      <c r="Y7" s="2" t="s">
        <v>129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25" t="n">
        <v>274.468085106383</v>
      </c>
      <c r="E8" s="81" t="n">
        <f aca="false">D8/1000*6.5</f>
        <v>1.78404255319149</v>
      </c>
      <c r="G8" s="2" t="s">
        <v>92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2" t="n">
        <f aca="false">U8/T8</f>
        <v>0.768774193548387</v>
      </c>
      <c r="Y8" s="2" t="s">
        <v>130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25" t="n">
        <v>274.468085106383</v>
      </c>
      <c r="E9" s="81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131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25" t="n">
        <v>1212.76595744681</v>
      </c>
      <c r="E10" s="81" t="n">
        <f aca="false">D10/1000*1.95</f>
        <v>2.36489361702128</v>
      </c>
      <c r="G10" s="2" t="s">
        <v>6</v>
      </c>
      <c r="H10" s="1"/>
      <c r="Y10" s="2" t="s">
        <v>132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118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133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135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136</v>
      </c>
      <c r="H13" s="1" t="n">
        <v>0.5</v>
      </c>
      <c r="I13" s="60" t="n">
        <f aca="false">I17*H13</f>
        <v>19.5</v>
      </c>
      <c r="K13" s="1" t="n">
        <v>0.34</v>
      </c>
      <c r="L13" s="60" t="n">
        <f aca="false">L17*K13</f>
        <v>12.172</v>
      </c>
      <c r="Y13" s="2" t="s">
        <v>137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138</v>
      </c>
      <c r="E14" s="2" t="n">
        <f aca="false">SUM(E4:E11)</f>
        <v>14.0116595744681</v>
      </c>
      <c r="G14" s="1" t="s">
        <v>139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140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141</v>
      </c>
      <c r="E15" s="2" t="n">
        <f aca="false">E14/6</f>
        <v>2.33527659574468</v>
      </c>
      <c r="G15" s="2" t="s">
        <v>142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120</v>
      </c>
      <c r="E16" s="2" t="n">
        <v>8</v>
      </c>
      <c r="G16" s="2" t="s">
        <v>143</v>
      </c>
      <c r="H16" s="2" t="n">
        <f aca="false">I14/H15</f>
        <v>0.880377830437072</v>
      </c>
      <c r="K16" s="2" t="n">
        <f aca="false">L14/K15</f>
        <v>0.8341</v>
      </c>
      <c r="O16" s="2" t="s">
        <v>144</v>
      </c>
      <c r="Y16" s="2" t="s">
        <v>145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146</v>
      </c>
      <c r="E17" s="2" t="n">
        <f aca="false">E16-E15</f>
        <v>5.66472340425532</v>
      </c>
      <c r="G17" s="2" t="s">
        <v>147</v>
      </c>
      <c r="I17" s="2" t="n">
        <v>39</v>
      </c>
      <c r="L17" s="2" t="n">
        <v>35.8</v>
      </c>
      <c r="O17" s="2" t="s">
        <v>148</v>
      </c>
      <c r="R17" s="2" t="n">
        <v>3</v>
      </c>
    </row>
    <row r="18" customFormat="false" ht="17.35" hidden="false" customHeight="false" outlineLevel="0" collapsed="false">
      <c r="C18" s="82" t="s">
        <v>122</v>
      </c>
      <c r="D18" s="82"/>
      <c r="E18" s="82" t="n">
        <f aca="false">E17/E16</f>
        <v>0.708090425531915</v>
      </c>
      <c r="O18" s="2" t="s">
        <v>149</v>
      </c>
      <c r="R18" s="2" t="n">
        <f aca="false">9</f>
        <v>9</v>
      </c>
      <c r="Y18" s="2" t="s">
        <v>150</v>
      </c>
      <c r="Z18" s="8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151</v>
      </c>
      <c r="R19" s="2" t="n">
        <v>12</v>
      </c>
      <c r="Y19" s="2" t="s">
        <v>152</v>
      </c>
      <c r="Z19" s="2" t="n">
        <v>35</v>
      </c>
    </row>
    <row r="20" customFormat="false" ht="17.35" hidden="false" customHeight="false" outlineLevel="0" collapsed="false">
      <c r="C20" s="2" t="s">
        <v>153</v>
      </c>
      <c r="E20" s="2" t="n">
        <f aca="false">11</f>
        <v>11</v>
      </c>
      <c r="O20" s="2" t="s">
        <v>154</v>
      </c>
      <c r="Y20" s="2" t="s">
        <v>118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155</v>
      </c>
      <c r="E21" s="2" t="n">
        <f aca="false">E15*1.5</f>
        <v>3.50291489361702</v>
      </c>
      <c r="O21" s="2" t="s">
        <v>156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146</v>
      </c>
      <c r="E22" s="2" t="n">
        <f aca="false">E20-E21</f>
        <v>7.49708510638298</v>
      </c>
      <c r="O22" s="2" t="s">
        <v>152</v>
      </c>
      <c r="R22" s="2" t="n">
        <f aca="false">R21/12</f>
        <v>20.8333333333333</v>
      </c>
      <c r="Y22" s="2" t="s">
        <v>157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2" t="s">
        <v>122</v>
      </c>
      <c r="D23" s="82"/>
      <c r="E23" s="82" t="n">
        <f aca="false">E22/E20</f>
        <v>0.681553191489362</v>
      </c>
      <c r="H23" s="2" t="n">
        <v>1</v>
      </c>
      <c r="I23" s="83" t="n">
        <f aca="false">H23*H16</f>
        <v>0.880377830437072</v>
      </c>
      <c r="J23" s="81" t="n">
        <f aca="false">I23</f>
        <v>0.880377830437072</v>
      </c>
      <c r="K23" s="2" t="n">
        <v>1</v>
      </c>
      <c r="L23" s="83" t="n">
        <f aca="false">K23*$K$16</f>
        <v>0.8341</v>
      </c>
      <c r="M23" s="81" t="n">
        <f aca="false">L23</f>
        <v>0.8341</v>
      </c>
      <c r="Y23" s="2" t="s">
        <v>153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120</v>
      </c>
      <c r="E24" s="2" t="n">
        <f aca="false">E20/1.5</f>
        <v>7.33333333333333</v>
      </c>
      <c r="H24" s="2" t="n">
        <v>2</v>
      </c>
      <c r="I24" s="83" t="n">
        <f aca="false">H24*$H$16</f>
        <v>1.76075566087414</v>
      </c>
      <c r="J24" s="81" t="n">
        <f aca="false">I24</f>
        <v>1.76075566087414</v>
      </c>
      <c r="K24" s="2" t="n">
        <v>2</v>
      </c>
      <c r="L24" s="83" t="n">
        <f aca="false">K24*$K$16</f>
        <v>1.6682</v>
      </c>
      <c r="M24" s="81" t="n">
        <f aca="false">L24</f>
        <v>1.6682</v>
      </c>
      <c r="Y24" s="2" t="s">
        <v>146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158</v>
      </c>
      <c r="E25" s="2" t="n">
        <f aca="false">E22/1.5</f>
        <v>4.99805673758865</v>
      </c>
      <c r="H25" s="2" t="n">
        <v>3</v>
      </c>
      <c r="I25" s="83" t="n">
        <f aca="false">H25*$H$16</f>
        <v>2.64113349131122</v>
      </c>
      <c r="J25" s="81" t="n">
        <f aca="false">I25</f>
        <v>2.64113349131122</v>
      </c>
      <c r="K25" s="2" t="n">
        <v>3</v>
      </c>
      <c r="L25" s="83" t="n">
        <f aca="false">K25*$K$16</f>
        <v>2.5023</v>
      </c>
      <c r="M25" s="81" t="n">
        <f aca="false">L25</f>
        <v>2.5023</v>
      </c>
      <c r="Y25" s="2" t="s">
        <v>122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3" t="n">
        <f aca="false">H26*$H$16</f>
        <v>3.52151132174829</v>
      </c>
      <c r="J26" s="81" t="n">
        <f aca="false">I26</f>
        <v>3.52151132174829</v>
      </c>
      <c r="K26" s="2" t="n">
        <v>4</v>
      </c>
      <c r="L26" s="83" t="n">
        <f aca="false">K26*$K$16</f>
        <v>3.3364</v>
      </c>
      <c r="M26" s="8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3" t="n">
        <f aca="false">H27*$H$16</f>
        <v>4.40188915218536</v>
      </c>
      <c r="J27" s="81" t="n">
        <f aca="false">I27</f>
        <v>4.40188915218536</v>
      </c>
      <c r="K27" s="2" t="n">
        <v>5</v>
      </c>
      <c r="L27" s="83" t="n">
        <f aca="false">K27*$K$16</f>
        <v>4.1705</v>
      </c>
      <c r="M27" s="81" t="n">
        <f aca="false">L27</f>
        <v>4.1705</v>
      </c>
      <c r="Y27" s="2" t="s">
        <v>159</v>
      </c>
      <c r="AC27" s="2" t="s">
        <v>160</v>
      </c>
    </row>
    <row r="28" customFormat="false" ht="17.35" hidden="false" customHeight="false" outlineLevel="0" collapsed="false">
      <c r="H28" s="2" t="n">
        <v>6</v>
      </c>
      <c r="I28" s="83" t="n">
        <f aca="false">H28*$H$16</f>
        <v>5.28226698262243</v>
      </c>
      <c r="J28" s="81" t="n">
        <f aca="false">I28</f>
        <v>5.28226698262243</v>
      </c>
      <c r="K28" s="2" t="n">
        <v>6</v>
      </c>
      <c r="L28" s="83" t="n">
        <f aca="false">K28*$K$16</f>
        <v>5.0046</v>
      </c>
      <c r="M28" s="8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3" t="n">
        <f aca="false">H29*$H$16</f>
        <v>6.1626448130595</v>
      </c>
      <c r="J29" s="81" t="n">
        <f aca="false">I29</f>
        <v>6.1626448130595</v>
      </c>
      <c r="K29" s="2" t="n">
        <v>7</v>
      </c>
      <c r="L29" s="83" t="n">
        <f aca="false">K29*$K$16</f>
        <v>5.8387</v>
      </c>
      <c r="M29" s="81" t="n">
        <f aca="false">L29</f>
        <v>5.8387</v>
      </c>
      <c r="Y29" s="2" t="s">
        <v>91</v>
      </c>
      <c r="Z29" s="83" t="n">
        <v>4</v>
      </c>
      <c r="AC29" s="2" t="s">
        <v>161</v>
      </c>
      <c r="AE29" s="1"/>
      <c r="AF29" s="2" t="s">
        <v>162</v>
      </c>
    </row>
    <row r="30" customFormat="false" ht="17.35" hidden="false" customHeight="false" outlineLevel="0" collapsed="false">
      <c r="H30" s="2" t="n">
        <v>8</v>
      </c>
      <c r="I30" s="83" t="n">
        <f aca="false">H30*$H$16</f>
        <v>7.04302264349658</v>
      </c>
      <c r="J30" s="81" t="n">
        <f aca="false">I30</f>
        <v>7.04302264349658</v>
      </c>
      <c r="K30" s="2" t="n">
        <v>8</v>
      </c>
      <c r="L30" s="83" t="n">
        <f aca="false">K30*$K$16</f>
        <v>6.6728</v>
      </c>
      <c r="M30" s="81" t="n">
        <f aca="false">L30</f>
        <v>6.6728</v>
      </c>
      <c r="Y30" s="2" t="s">
        <v>52</v>
      </c>
      <c r="Z30" s="83" t="n">
        <v>4.1</v>
      </c>
      <c r="AC30" s="2" t="s">
        <v>163</v>
      </c>
      <c r="AE30" s="1"/>
      <c r="AF30" s="84" t="n">
        <v>1.1</v>
      </c>
    </row>
    <row r="31" customFormat="false" ht="17.35" hidden="false" customHeight="false" outlineLevel="0" collapsed="false">
      <c r="H31" s="2" t="n">
        <v>9</v>
      </c>
      <c r="I31" s="83" t="n">
        <f aca="false">H31*$H$16</f>
        <v>7.92340047393365</v>
      </c>
      <c r="J31" s="81" t="n">
        <f aca="false">I31</f>
        <v>7.92340047393365</v>
      </c>
      <c r="K31" s="2" t="n">
        <v>9</v>
      </c>
      <c r="L31" s="83" t="n">
        <f aca="false">K31*$K$16</f>
        <v>7.5069</v>
      </c>
      <c r="M31" s="81" t="n">
        <f aca="false">L31</f>
        <v>7.5069</v>
      </c>
      <c r="Y31" s="2" t="s">
        <v>164</v>
      </c>
      <c r="Z31" s="83" t="n">
        <f aca="false">4.1/1.055</f>
        <v>3.88625592417062</v>
      </c>
      <c r="AC31" s="2" t="s">
        <v>165</v>
      </c>
      <c r="AE31" s="1"/>
      <c r="AF31" s="84" t="n">
        <v>0.9</v>
      </c>
    </row>
    <row r="32" customFormat="false" ht="17.35" hidden="false" customHeight="false" outlineLevel="0" collapsed="false">
      <c r="H32" s="2" t="n">
        <v>10</v>
      </c>
      <c r="I32" s="83" t="n">
        <f aca="false">H32*$H$16</f>
        <v>8.80377830437072</v>
      </c>
      <c r="J32" s="81" t="n">
        <f aca="false">I32</f>
        <v>8.80377830437072</v>
      </c>
      <c r="K32" s="2" t="n">
        <v>10</v>
      </c>
      <c r="L32" s="83" t="n">
        <f aca="false">K32*$K$16</f>
        <v>8.341</v>
      </c>
      <c r="M32" s="81" t="n">
        <f aca="false">L32</f>
        <v>8.341</v>
      </c>
      <c r="Y32" s="2" t="s">
        <v>166</v>
      </c>
      <c r="Z32" s="8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3" t="n">
        <f aca="false">H33*$H$16</f>
        <v>9.68415613480779</v>
      </c>
      <c r="J33" s="81" t="n">
        <f aca="false">I33</f>
        <v>9.68415613480779</v>
      </c>
      <c r="K33" s="2" t="n">
        <v>11</v>
      </c>
      <c r="L33" s="83" t="n">
        <f aca="false">K33*$K$16</f>
        <v>9.1751</v>
      </c>
      <c r="M33" s="81" t="n">
        <f aca="false">L33</f>
        <v>9.1751</v>
      </c>
      <c r="Y33" s="2" t="s">
        <v>167</v>
      </c>
      <c r="Z33" s="83" t="n">
        <f aca="false">14/1.055</f>
        <v>13.2701421800948</v>
      </c>
    </row>
    <row r="34" customFormat="false" ht="17.35" hidden="false" customHeight="false" outlineLevel="0" collapsed="false">
      <c r="Y34" s="2" t="s">
        <v>168</v>
      </c>
      <c r="Z34" s="83" t="n">
        <f aca="false">32/1.055</f>
        <v>30.3317535545024</v>
      </c>
    </row>
    <row r="35" customFormat="false" ht="17.35" hidden="false" customHeight="false" outlineLevel="0" collapsed="false">
      <c r="Y35" s="85" t="s">
        <v>169</v>
      </c>
      <c r="Z35" s="86" t="n">
        <f aca="false">6/1.055</f>
        <v>5.68720379146919</v>
      </c>
    </row>
    <row r="36" customFormat="false" ht="17.35" hidden="false" customHeight="false" outlineLevel="0" collapsed="false">
      <c r="Z36" s="83"/>
    </row>
    <row r="37" customFormat="false" ht="17.35" hidden="false" customHeight="false" outlineLevel="0" collapsed="false">
      <c r="Z37" s="83"/>
    </row>
    <row r="38" customFormat="false" ht="17.35" hidden="false" customHeight="false" outlineLevel="0" collapsed="false">
      <c r="Z38" s="8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0" activeCellId="0" sqref="B30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170</v>
      </c>
    </row>
    <row r="3" customFormat="false" ht="17.35" hidden="false" customHeight="false" outlineLevel="0" collapsed="false">
      <c r="A3" s="1"/>
      <c r="B3" s="2" t="s">
        <v>171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172</v>
      </c>
    </row>
    <row r="6" customFormat="false" ht="17.35" hidden="false" customHeight="false" outlineLevel="0" collapsed="false">
      <c r="B6" s="2" t="s">
        <v>173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174</v>
      </c>
    </row>
    <row r="9" customFormat="false" ht="17.35" hidden="false" customHeight="false" outlineLevel="0" collapsed="false">
      <c r="B9" s="2" t="s">
        <v>175</v>
      </c>
    </row>
    <row r="10" customFormat="false" ht="17.35" hidden="false" customHeight="false" outlineLevel="0" collapsed="false">
      <c r="B10" s="2" t="s">
        <v>176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177</v>
      </c>
    </row>
    <row r="13" customFormat="false" ht="17.35" hidden="false" customHeight="false" outlineLevel="0" collapsed="false">
      <c r="B13" s="2" t="s">
        <v>178</v>
      </c>
    </row>
    <row r="14" customFormat="false" ht="17.35" hidden="false" customHeight="false" outlineLevel="0" collapsed="false">
      <c r="B14" s="2" t="s">
        <v>179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180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181</v>
      </c>
    </row>
    <row r="19" customFormat="false" ht="17.35" hidden="false" customHeight="false" outlineLevel="0" collapsed="false">
      <c r="B19" s="2" t="s">
        <v>182</v>
      </c>
    </row>
    <row r="20" customFormat="false" ht="17.35" hidden="false" customHeight="false" outlineLevel="0" collapsed="false">
      <c r="B20" s="2" t="s">
        <v>183</v>
      </c>
    </row>
    <row r="21" customFormat="false" ht="17.35" hidden="false" customHeight="false" outlineLevel="0" collapsed="false">
      <c r="B21" s="2" t="s">
        <v>184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185</v>
      </c>
    </row>
    <row r="24" customFormat="false" ht="17.35" hidden="false" customHeight="false" outlineLevel="0" collapsed="false">
      <c r="B24" s="2" t="s">
        <v>186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187</v>
      </c>
    </row>
    <row r="27" customFormat="false" ht="17.35" hidden="false" customHeight="false" outlineLevel="0" collapsed="false">
      <c r="B27" s="2" t="s">
        <v>188</v>
      </c>
    </row>
    <row r="28" customFormat="false" ht="17.35" hidden="false" customHeight="false" outlineLevel="0" collapsed="false">
      <c r="B28" s="2" t="s">
        <v>189</v>
      </c>
    </row>
    <row r="29" customFormat="false" ht="17.35" hidden="false" customHeight="false" outlineLevel="0" collapsed="false">
      <c r="B29" s="2" t="s">
        <v>190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2024-12-03T21:16:57Z</dcterms:modified>
  <cp:revision>69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